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JR23_DE" sheetId="1" r:id="rId1"/>
  </sheets>
  <externalReferences>
    <externalReference r:id="rId4"/>
  </externalReferences>
  <definedNames>
    <definedName name="_xlfn._FV" hidden="1">#NAME?</definedName>
    <definedName name="_xlnm.Print_Area" localSheetId="0">'JR23_DE'!$A$185:$J$453</definedName>
  </definedNames>
  <calcPr fullCalcOnLoad="1"/>
</workbook>
</file>

<file path=xl/comments1.xml><?xml version="1.0" encoding="utf-8"?>
<comments xmlns="http://schemas.openxmlformats.org/spreadsheetml/2006/main">
  <authors>
    <author>Gaby Bucher</author>
  </authors>
  <commentList>
    <comment ref="A250" authorId="0">
      <text>
        <r>
          <rPr>
            <b/>
            <sz val="9"/>
            <rFont val="Segoe UI"/>
            <family val="2"/>
          </rPr>
          <t>Gaby Bucher:</t>
        </r>
        <r>
          <rPr>
            <sz val="9"/>
            <rFont val="Segoe UI"/>
            <family val="2"/>
          </rPr>
          <t xml:space="preserve">
1199 + Reka 1040 + Darlehen 1430 + Valais 2016</t>
        </r>
      </text>
    </comment>
    <comment ref="A369" authorId="0">
      <text>
        <r>
          <rPr>
            <b/>
            <sz val="9"/>
            <rFont val="Segoe UI"/>
            <family val="2"/>
          </rPr>
          <t>Gaby Bucher:</t>
        </r>
        <r>
          <rPr>
            <sz val="9"/>
            <rFont val="Segoe UI"/>
            <family val="2"/>
          </rPr>
          <t xml:space="preserve">
Kto 4450
</t>
        </r>
      </text>
    </comment>
  </commentList>
</comments>
</file>

<file path=xl/sharedStrings.xml><?xml version="1.0" encoding="utf-8"?>
<sst xmlns="http://schemas.openxmlformats.org/spreadsheetml/2006/main" count="472" uniqueCount="296">
  <si>
    <t>Anmerkungen zu einzelnen Positionen der Betriebsrechnung</t>
  </si>
  <si>
    <t>Verteilt auf die Ressorts ergibt sich folgendes Bild:</t>
  </si>
  <si>
    <t>Verbandsführung, Administration und Sozialpolitik</t>
  </si>
  <si>
    <t>Rechtsdienst</t>
  </si>
  <si>
    <t>Reisen und Sport</t>
  </si>
  <si>
    <t>Bauen/Wohnungsvermittlung</t>
  </si>
  <si>
    <t>Beratungsstellen</t>
  </si>
  <si>
    <t>Total Personalaufwand</t>
  </si>
  <si>
    <t>Total Beiträge an andere Organisationen</t>
  </si>
  <si>
    <t>Abschreibungen auf Mobilien</t>
  </si>
  <si>
    <t>Total Abschreibungen auf Sachanlagen</t>
  </si>
  <si>
    <t>Erträge aus Wertschriften und Finanzanlagen</t>
  </si>
  <si>
    <t>Zinsen, Dividenden, Kursgewinne</t>
  </si>
  <si>
    <t>Bank- und Postspesen, Kursverluste</t>
  </si>
  <si>
    <t>Erläuterungen zu Positionen der Geldflussrechnung</t>
  </si>
  <si>
    <t>Die Geldflussrechnung zeigt die Veränderung der flüssigen Mittel, aufgeteilt auf die Faktoren Betriebstätigkeit, Investitionstätigkeit und Finanzierungstätigkeit.</t>
  </si>
  <si>
    <t>Die aufgeführten Fonds werden gemäss den Fondsbezeichnungen verwendet.</t>
  </si>
  <si>
    <t xml:space="preserve">Erträge </t>
  </si>
  <si>
    <t>Zuweisung</t>
  </si>
  <si>
    <t>Marketing, Aktionen, Öffentlichkeitsarbeit</t>
  </si>
  <si>
    <t>Kurse</t>
  </si>
  <si>
    <t>Einkauf Produkte Reisebüro</t>
  </si>
  <si>
    <t>Beiträge an andere Organisationen</t>
  </si>
  <si>
    <t>Sonstiger Aufwand, Spesen</t>
  </si>
  <si>
    <t>13)</t>
  </si>
  <si>
    <t>14)</t>
  </si>
  <si>
    <t>15)</t>
  </si>
  <si>
    <t>16)</t>
  </si>
  <si>
    <t>17)</t>
  </si>
  <si>
    <t>Liegenschaftsergebnis</t>
  </si>
  <si>
    <t>18)</t>
  </si>
  <si>
    <t>19)</t>
  </si>
  <si>
    <t>Abschreibungen mobile Sachanlagen</t>
  </si>
  <si>
    <t>Abschreibungen immobile Sachanlagen</t>
  </si>
  <si>
    <t>Erwerb von Sachanlagen</t>
  </si>
  <si>
    <t>Benevol</t>
  </si>
  <si>
    <t>Übrige Organisationen</t>
  </si>
  <si>
    <t>Raumkosten, Energie, Entsorgung</t>
  </si>
  <si>
    <t>Zuweisungen</t>
  </si>
  <si>
    <t>Abschreibungen auf Informatik</t>
  </si>
  <si>
    <t>Abschreibungen auf Sachanlagen</t>
  </si>
  <si>
    <t>Sammlungen / Spenden / Legate brutto</t>
  </si>
  <si>
    <t>Sammlungen / Spenden Aufwand</t>
  </si>
  <si>
    <t>Organkosten / Spesen</t>
  </si>
  <si>
    <t>Total Finanzergebnis auf Sachanlagen</t>
  </si>
  <si>
    <t>Die Rechnung über die Veränderung des Kapitals zeigt die Entwicklung jeder einzelnen Komponente des Kapitals.</t>
  </si>
  <si>
    <t>Finanzen</t>
  </si>
  <si>
    <t>Bilanz</t>
  </si>
  <si>
    <t>Aktiven</t>
  </si>
  <si>
    <t>Anmerkung</t>
  </si>
  <si>
    <t>Anfangsbestand</t>
  </si>
  <si>
    <t>Endbestand</t>
  </si>
  <si>
    <t>Umlaufvermögen</t>
  </si>
  <si>
    <t>Flüssige Mittel</t>
  </si>
  <si>
    <t>Forderungen</t>
  </si>
  <si>
    <t>Vorräte</t>
  </si>
  <si>
    <t>Aktive Rechnungsabgrenzung</t>
  </si>
  <si>
    <t>1)</t>
  </si>
  <si>
    <t>2)</t>
  </si>
  <si>
    <t>Anlagevermögen</t>
  </si>
  <si>
    <t>Sachanlagen</t>
  </si>
  <si>
    <t>Finanzanlagen</t>
  </si>
  <si>
    <t>3)</t>
  </si>
  <si>
    <t>4)</t>
  </si>
  <si>
    <t>5)</t>
  </si>
  <si>
    <t>Total Aktiven</t>
  </si>
  <si>
    <t>Passiven</t>
  </si>
  <si>
    <t>Fremdkapital</t>
  </si>
  <si>
    <t>Kurzfristiges Fremdkapital</t>
  </si>
  <si>
    <t>Passive Rechnungsabgrenzung</t>
  </si>
  <si>
    <t>Fondskapital</t>
  </si>
  <si>
    <t>Zweckbindung</t>
  </si>
  <si>
    <t>6)</t>
  </si>
  <si>
    <t>Organisationskapital</t>
  </si>
  <si>
    <t>7)</t>
  </si>
  <si>
    <t>Freies Kapital</t>
  </si>
  <si>
    <t>8)</t>
  </si>
  <si>
    <t>Total Passiven</t>
  </si>
  <si>
    <t>Betriebsrechnung</t>
  </si>
  <si>
    <t>Ertrag</t>
  </si>
  <si>
    <t>Sammlungsanteil der Sektionen</t>
  </si>
  <si>
    <t>Sammelergebnis netto</t>
  </si>
  <si>
    <t>9)</t>
  </si>
  <si>
    <t>Mitgliederbeiträge</t>
  </si>
  <si>
    <t>Kostenbeiträge öffentliche Hand</t>
  </si>
  <si>
    <t>Einnahmen aus Dienstleistungen</t>
  </si>
  <si>
    <t>10)</t>
  </si>
  <si>
    <t>Betriebsertrag</t>
  </si>
  <si>
    <t>Total Ertrag</t>
  </si>
  <si>
    <t>Betriebsaufwand</t>
  </si>
  <si>
    <t>Personalaufwand</t>
  </si>
  <si>
    <t>11)</t>
  </si>
  <si>
    <t>Unterhalt Mobilien, Einrichtungen, Fahrzeuge</t>
  </si>
  <si>
    <t>Sachversicherungen, Abgaben, Gebühren</t>
  </si>
  <si>
    <t>Verwaltungs- und Informatikaufwand</t>
  </si>
  <si>
    <t>12)</t>
  </si>
  <si>
    <t>Total Betriebsaufwand</t>
  </si>
  <si>
    <t>Betriebsergebnis</t>
  </si>
  <si>
    <t>Finanzergebnis</t>
  </si>
  <si>
    <t>Jahresergebnis ohne Fondsergebnis</t>
  </si>
  <si>
    <t>Zweckgebundene Fonds</t>
  </si>
  <si>
    <t>Geldflussrechnung</t>
  </si>
  <si>
    <t>Geldfluss aus Betriebstätigkeit</t>
  </si>
  <si>
    <t>Geldfluss aus Investitionstätigkeit</t>
  </si>
  <si>
    <t>Anfangsbestand an flüssigen Mitteln</t>
  </si>
  <si>
    <t>Endbestand an flüssigen Mitteln</t>
  </si>
  <si>
    <t>Veränderung an Zahlungsmitteln</t>
  </si>
  <si>
    <t>Verwendung</t>
  </si>
  <si>
    <t>CHF</t>
  </si>
  <si>
    <t>Sportfonds</t>
  </si>
  <si>
    <t>Fonds mit einschränkender Zweckbindung</t>
  </si>
  <si>
    <t>20)</t>
  </si>
  <si>
    <t>Fonds Strukturentwicklung</t>
  </si>
  <si>
    <t>Herzlichen Dank!</t>
  </si>
  <si>
    <t>Anhang</t>
  </si>
  <si>
    <t>Allgemeine Grundlagen der Rechnungslegung</t>
  </si>
  <si>
    <t>Konsolidierung</t>
  </si>
  <si>
    <t>Bilanzierungs- und Bewertungsgrundsätze</t>
  </si>
  <si>
    <t>Diese Position umfasst Kassen-, Post- und Bankkonten.</t>
  </si>
  <si>
    <t>Die Position umfasst die Aktivposten, die aus der sachlichen und zeitlichen Abgrenzung der einzelnen Aufwand- und Ertragspositionen resultieren. Die Bewertung erfolgt zum Nominalwert.</t>
  </si>
  <si>
    <t>Kurzfristige Verbindlichkeiten</t>
  </si>
  <si>
    <t>Diese Position umfasst die am Bilanzstichtag bereits zugesprochenen, aber noch nicht ausgeglichenen Verbindlichkeiten. Die Bewertung erfolgt zum Nominalwert.</t>
  </si>
  <si>
    <t>Die Position umfasst die Passivpositionen, die aus der sachlichen und zeitlichen Abgrenzung der einzelnen Aufwand- und Ertragspositionen resultieren. Die Bewertung erfolgt zum Nominalwert.</t>
  </si>
  <si>
    <t>Grundsätze der Geldflussrechnung</t>
  </si>
  <si>
    <t>1) Flüssige Mittel</t>
  </si>
  <si>
    <t>Kassen</t>
  </si>
  <si>
    <t>Post</t>
  </si>
  <si>
    <t>Banken</t>
  </si>
  <si>
    <t>Total Flüssige Mittel</t>
  </si>
  <si>
    <t>2) Forderungen</t>
  </si>
  <si>
    <t>Total Forderungen</t>
  </si>
  <si>
    <t>Informatik</t>
  </si>
  <si>
    <t>Mobilien</t>
  </si>
  <si>
    <t>Immobilien</t>
  </si>
  <si>
    <t>Total</t>
  </si>
  <si>
    <t>Beteiligungen</t>
  </si>
  <si>
    <t>Total Finanzanlagen</t>
  </si>
  <si>
    <t>Total Fonds mit einschränkender</t>
  </si>
  <si>
    <t>Fonds Bauen Bern</t>
  </si>
  <si>
    <t>Nahestehende Organisationen / Personen / Institutionen</t>
  </si>
  <si>
    <t xml:space="preserve">Jahresergebnis vor Entnahmen / Zuweisungen </t>
  </si>
  <si>
    <t>Anmerkungen zu einzelnen Positionen der Bilanz und Erfolgsrechnung</t>
  </si>
  <si>
    <t>Forderungen gegenüber Dritten</t>
  </si>
  <si>
    <t>Diese Position umfasst Artikel, welche Procap Schweiz zentral einkauft und in der Regel den Sektionen weiterverkauft.</t>
  </si>
  <si>
    <t>Total kurzfristige Verbindlichkeiten</t>
  </si>
  <si>
    <t>Verbindlichkeiten gegenüber Dritten</t>
  </si>
  <si>
    <t>21)</t>
  </si>
  <si>
    <t>Für die Jahresrechnung gilt grundsätzlich das Anschaffungs- bzw. Herstellungskostenprinzip. Dieses richtet sich nach dem Grundsatz der Einzelbewertung von Aktiven und Passiven. Die Buchhaltung wird in Schweizer Franken geführt. Die wichtigsten Bilanzierungsgrundsätze sind nachfolgend dargestellt:</t>
  </si>
  <si>
    <t>Diese Position umfasst die im Rahmen des statutarischen Zwecks von Procap Schweiz einsetzbaren Mittel.</t>
  </si>
  <si>
    <t>Kumulierte Wertberichtigungen</t>
  </si>
  <si>
    <t>3) Aktive Rechnungsabgrenzung</t>
  </si>
  <si>
    <t>4) Sachanlagen</t>
  </si>
  <si>
    <t>5) Finanzanlagen</t>
  </si>
  <si>
    <t>Fonds Fachstelle Bauen Bern</t>
  </si>
  <si>
    <t>Bildung und Sensibilisierung</t>
  </si>
  <si>
    <t xml:space="preserve">Sektionsdienste </t>
  </si>
  <si>
    <t>Gebundenes Kapital</t>
  </si>
  <si>
    <t xml:space="preserve">Interne </t>
  </si>
  <si>
    <t>Transfers</t>
  </si>
  <si>
    <t>Veränderung</t>
  </si>
  <si>
    <t>Veränderung Fondskapital</t>
  </si>
  <si>
    <t>Veränderung des Fondskapitals</t>
  </si>
  <si>
    <t>(Fonds mit einschränkender Zweckbindung)</t>
  </si>
  <si>
    <t>Total Fondskapital</t>
  </si>
  <si>
    <t>Total Organisationskapital</t>
  </si>
  <si>
    <t>Weitere Anhangsangaben</t>
  </si>
  <si>
    <t>Anteilscheine</t>
  </si>
  <si>
    <t>Mittelbeschaffung</t>
  </si>
  <si>
    <t>Marketing/Öffentlichkeitsarbeit</t>
  </si>
  <si>
    <t>Jugendgruppen Procap</t>
  </si>
  <si>
    <t>Travel Trade Service,  Reisbüroverband</t>
  </si>
  <si>
    <t>Schweizer Reiseverband</t>
  </si>
  <si>
    <t>Nicht bilanzierter Sachverhalt</t>
  </si>
  <si>
    <t>Zuwendung in Form von Freiwilligenarbeit</t>
  </si>
  <si>
    <t>Nicht bilanzierte Verbindlichkeiten</t>
  </si>
  <si>
    <t>Leasing Fahrzeug</t>
  </si>
  <si>
    <t>Miete Fotokopierer</t>
  </si>
  <si>
    <t>Bei den Anteilscheinen handelt es sich um Aktienzertifikate des Reisebüroverbandes Travel Trade Service TTS, welchem Procap Schweiz im 2016 beigetreten ist.</t>
  </si>
  <si>
    <t>Procap Schweiz ist seit Jahren Mitglied der ZEWO, der Schweizerischen Fachstelle  für gemeinnützige, spendensammelnde Organisationen. Das Gütesiegel garantiert den gewissenhaften und effizienten Einsatz der Spenden. Procap Schweiz ist ebenfalls seit Jahren ISO-zertifiziert (Qualitäts- und Managementsystem).</t>
  </si>
  <si>
    <t>Miete Büros und Archiv</t>
  </si>
  <si>
    <t>Jahresergebnis vor Entnahme und Zuweisung</t>
  </si>
  <si>
    <t>Verbindlichkeiten gegenüber Sektionen/Sportgruppen</t>
  </si>
  <si>
    <t>Bundesamt für Sozialversicherung</t>
  </si>
  <si>
    <t>Kantone</t>
  </si>
  <si>
    <t xml:space="preserve">Total Kostenbeiträge </t>
  </si>
  <si>
    <t>Eidg. Büro für Gleichstellung von Menschen mit Behinderung</t>
  </si>
  <si>
    <t>Verein Barrierefreie Schweiz</t>
  </si>
  <si>
    <t>Projekt und Dienstleistungsaufwand</t>
  </si>
  <si>
    <t xml:space="preserve">Mittelbeschaffung </t>
  </si>
  <si>
    <t>Administrativer Aufwand</t>
  </si>
  <si>
    <t>Administrativer Aufwand Verband</t>
  </si>
  <si>
    <r>
      <t>P</t>
    </r>
    <r>
      <rPr>
        <sz val="11"/>
        <rFont val="Arial"/>
        <family val="2"/>
      </rPr>
      <t xml:space="preserve">rocap Schweiz weist den administrativen Aufwand für den Verband separat aus, da dieser nicht im direkten Zusammenhang mit den Tätigkeiten von Procap Schweiz bei den Projekten, Dienstleistungen und der Mittelbeschaffung steht. </t>
    </r>
  </si>
  <si>
    <t>Total Aufwand</t>
  </si>
  <si>
    <t>Der IV-Beitrag für Leistungen nach Art. 74 IVG ist zweckgebunden. Zum Zeitpunkt des Jahresabschlusses war noch nicht ersichtlich ob und in welchem Umfang Mittel in einen Fonds Art. 74 IVG eingelegt werden müssen.</t>
  </si>
  <si>
    <t>Liegenschaftsaufwand</t>
  </si>
  <si>
    <t>Liegenschaftsertrag</t>
  </si>
  <si>
    <t>Total Liegenschaftsergebnis</t>
  </si>
  <si>
    <t xml:space="preserve">In dieser Position sind neben Ausgaben gemäss Zentralvorstandsbeschlüssen auch Beiträge für Sektionen und Sportgruppen enthalten.  </t>
  </si>
  <si>
    <t>Forderungen gegenüber Sektionen</t>
  </si>
  <si>
    <t>Entnahme / Entnahme aus Strukturfonds</t>
  </si>
  <si>
    <t>Fonds Tourismus inklusiv</t>
  </si>
  <si>
    <t>Alliance Enfance</t>
  </si>
  <si>
    <t>6) Kurzfristige Verbindlichkeiten</t>
  </si>
  <si>
    <t>8) Fondskapital</t>
  </si>
  <si>
    <t>9) Organisationskapital</t>
  </si>
  <si>
    <t>10) Sammelergebnis netto</t>
  </si>
  <si>
    <t>11) Kostenbeiträge öffentliche Hand</t>
  </si>
  <si>
    <t>12) Einnahmen aus Dienstleistungen</t>
  </si>
  <si>
    <t>13) Personalaufwand</t>
  </si>
  <si>
    <t>15) Organkosten / Spesen</t>
  </si>
  <si>
    <t>14) Sachversicherungen, Abgaben und Gebühren</t>
  </si>
  <si>
    <t>Inclusion Handicap</t>
  </si>
  <si>
    <t>Flüssige Mittel stellen die Liquiditätsreserve der sozialen Non-Profit-Organisation dar und bilden daher die entscheidende Grösse für die Leistungs- und Handlungsfähigkeit von Procap Schweiz. Die Geldflussrechnung zeigt die Veränderung der flüssigen Mittel, aufgeteilt auf die Faktoren Betriebstätigkeit, Investitionstätigkeit und Finanzierungstätigkeit. Die Geldflussrechnung wird nach der indirekten Methode erstellt.</t>
  </si>
  <si>
    <t>Erwerb/Investition von/in  Immobilien</t>
  </si>
  <si>
    <t>31.12.2022 in CHF</t>
  </si>
  <si>
    <t>Rechnung über die Veränderung des Kapitals 2022</t>
  </si>
  <si>
    <t>Anschaffungswerte 2022</t>
  </si>
  <si>
    <t>Investitionen 2022</t>
  </si>
  <si>
    <t>Stand am 31.12.2022</t>
  </si>
  <si>
    <t>Bestand am 01.01.2022</t>
  </si>
  <si>
    <t>Abschreibungen 2022</t>
  </si>
  <si>
    <t>Bestand am 31.12.2022</t>
  </si>
  <si>
    <t>Nettobuchwerte am 01.01.2022</t>
  </si>
  <si>
    <t>Nettobuchwerte am 31.12.2022</t>
  </si>
  <si>
    <t>Stand am 01.01.2022</t>
  </si>
  <si>
    <t>2022 in CHF</t>
  </si>
  <si>
    <t xml:space="preserve"> </t>
  </si>
  <si>
    <t>Zunahme / Abnahme an Zahlungsmitteln</t>
  </si>
  <si>
    <t xml:space="preserve">Diese Position umfasst Forderungen aus erbrachten Leistungen, WIR-Guthaben sowie Mieterkautionen. Die Bewertung erfolgt zum Nominalwert. </t>
  </si>
  <si>
    <t xml:space="preserve">Procap Schweiz führt keine Anlagebuchhaltung. In den Vorjahren wurden jeweils die Zugänge zum Anschaffungswert kumuliert und auch die entsprechenden Abschreibungen kumuliert. Abgänge/Verkäufe in der Informatik und den Mobilien wurden im Anlagespiegel nicht ausgewiesen. In der Buchhaltung ist der Nettobuchwert dieser Sachanlagen jeweils korrekt ausgewiesen. </t>
  </si>
  <si>
    <t>7) Passive Rechnungsabgrenzung</t>
  </si>
  <si>
    <t>Die Abschreibungen auf Sachanlagen sind aufgeteilt in:</t>
  </si>
  <si>
    <t>BSV-Beiträge</t>
  </si>
  <si>
    <t>16) Beiträge an andere Organisationen</t>
  </si>
  <si>
    <t>17) Abschreibungen auf Sachanlagen</t>
  </si>
  <si>
    <t>18) Sonstiger Aufwand, Spesen</t>
  </si>
  <si>
    <t>19) Finanzergebnis</t>
  </si>
  <si>
    <t>20) Liegenschaftsergebnis</t>
  </si>
  <si>
    <t>21) Zweckgebundene Fonds</t>
  </si>
  <si>
    <t>22) Fonds mit einschränkender Zweckbindung</t>
  </si>
  <si>
    <t>Bericht Revisionsstelle einfügen</t>
  </si>
  <si>
    <t>Irene Hodel, Leiterin Finanzen und Zentrale Dienste, Mitglied der Geschäftsleitung</t>
  </si>
  <si>
    <t>Abnahme (+) / Zunahme (-) Vorräte</t>
  </si>
  <si>
    <t>Zunahme (+) / Abnahme (-) passive Rechnungsabgrenzung</t>
  </si>
  <si>
    <t>31.12.2023 in CHF</t>
  </si>
  <si>
    <t>2023 in CHF</t>
  </si>
  <si>
    <t>Veränderung Finanzanlagen (nicht realisierte Kursgewinne)</t>
  </si>
  <si>
    <t>Zunahme (-) / Abnahme (+) Forderungen</t>
  </si>
  <si>
    <t>Abnahme (+) / Zunahme(-) aktive Rechnungsabgrenzung</t>
  </si>
  <si>
    <t>Abnahme (-) / Zunahme (+) kurzfristige Verbindlichkeiten</t>
  </si>
  <si>
    <t>Erwerb von Finanzanlagen</t>
  </si>
  <si>
    <t>Abnahme/Zunahme zweckgebundene Anlagen</t>
  </si>
  <si>
    <r>
      <t>Solidarität. Procap Schweiz bekennt sich zu einer solidarischen Gesellschaft von Menschen mit und ohne Behinderungen. Aus diesem Grund treten immer mehr Menschen ohne Behinderung</t>
    </r>
    <r>
      <rPr>
        <sz val="12"/>
        <color indexed="63"/>
        <rFont val="Arial"/>
        <family val="2"/>
      </rPr>
      <t>en</t>
    </r>
    <r>
      <rPr>
        <sz val="11"/>
        <color indexed="63"/>
        <rFont val="Arial"/>
        <family val="2"/>
      </rPr>
      <t xml:space="preserve"> unserem Verband als Solidarmitglied bei und ermöglichen dadurch, dass wir uns noch mehr für behinderte Menschen und ihre Anliegen einsetzen können.</t>
    </r>
  </si>
  <si>
    <t xml:space="preserve">Über 100'000 Gönnerinnen und Gönner unterstützen Procap Schweiz regelmässig mit einer Spende. Verschiedene Personen haben Procap Schweiz auch 2023 mit einem Legat bedacht. Und schliesslich erhalten wir immer wieder Zuwendungen von Stiftungen und Sponsoren. Ohne diese Unterstützung könnte Procap Schweiz die so wichtige Hilfe zur Selbsthilfe nicht aufrechterhalten. </t>
  </si>
  <si>
    <t>Rechnung über die Veränderung des Kapitals 2023</t>
  </si>
  <si>
    <t>23)</t>
  </si>
  <si>
    <t>zur Jahresrechnung 2023</t>
  </si>
  <si>
    <r>
      <t>Die Rechnungslegung von Procap Schweiz erfolgt in Übereinstimmung mit Swiss GAAP FER (Kern-FER und FE</t>
    </r>
    <r>
      <rPr>
        <sz val="11"/>
        <color indexed="8"/>
        <rFont val="Arial"/>
        <family val="2"/>
      </rPr>
      <t>R-21 und 28</t>
    </r>
    <r>
      <rPr>
        <sz val="11"/>
        <rFont val="Arial"/>
        <family val="2"/>
      </rPr>
      <t>), den Vorschriften der ZEWO sowie den Bestimmungen der Statuten und vermittelt ein den tatsächlichen Verhältnissen entsprechendes Bild der Vermögens-, Finanz- und Ertragslage (true and fair view).</t>
    </r>
  </si>
  <si>
    <t>Procap Schweiz hat, weder Tochtergesellschaften noch Partnerinstitutionen, bei denen sie einen beherrschenden Einfluss ausübt oder aufgrund von gemeinsamer Kontrolle und Führung  ausüben könnte. Die Sektionen und Sportgruppen von Procap Schweiz sind eigenständige Vereine mit eigener Rechnung und haben als Kollektivmitglieder Stimmrecht.</t>
  </si>
  <si>
    <t>Procap Schweiz und der Schweizerische Blindenbund sind zu je 50 % an der Help-Tex GmbH beteiligt. Aus dieser Beteiligung resultieren Einnahmen von rund CHF 43'100.00. Im Weitern beteiligt sich Procap Schweiz mit einem jährlichen Beitrag an Inclusion Handicap und anderen Organisationen.</t>
  </si>
  <si>
    <r>
      <t>Die Pos</t>
    </r>
    <r>
      <rPr>
        <sz val="11"/>
        <color indexed="8"/>
        <rFont val="Arial"/>
        <family val="2"/>
      </rPr>
      <t>ition umfasst Informatikanschaffungen und Mobilien, die Procap Schweiz zur Leistungserbringung selber benötigt. Ferner beinhaltet diese Position Immobilien, die uneingeschränkt im Eigentum von Procap Schweiz stehen und zum grössten Teil selbst genutzt werden. Im Jahr 2023 wurden die Seminarräume des Restaurants Aarhof im 1. OG Frohburgstrasse Olten erworben. Die Räumlichkeiten wurden umgebaut in einen Konferenzraum, welchen wir für Konferenzen und Schulungen benötigen. Damit können Fremdmieten eingespart werden. Zudem wurden Büroräumlichkeiten geschaffen, die an eine Behindertenorganisation vermietet sind.</t>
    </r>
    <r>
      <rPr>
        <sz val="11"/>
        <color indexed="10"/>
        <rFont val="Arial"/>
        <family val="2"/>
      </rPr>
      <t xml:space="preserve">  </t>
    </r>
    <r>
      <rPr>
        <sz val="11"/>
        <color indexed="8"/>
        <rFont val="Arial"/>
        <family val="2"/>
      </rPr>
      <t xml:space="preserve">Die Bewertung der Mobilien und der Informatik erfolgt zum Anschaffungswert abzüglich der planmässig vorgenommenen Abschreibungen, wobei bei den Mobilien von einer 10-jährigen und bei der Informatik neu ab 2023 einer 5-jährigen Nutzungsdauer ausgegangen wird. Anschaffungen unter CHF 1’000.00 werden nicht aktiviert. Die Bewertung der Immobilien erfolgt zum Anschaffungswert abzüglich der vorgenommenen Abschreibungen bei einer angenommenen 30-jährigen Nutzungsdauer. </t>
    </r>
  </si>
  <si>
    <t>Grundsätze zur Rechnung über die Veränderung des Kapitals 2022 / 2023</t>
  </si>
  <si>
    <t>Anschaffungswerte 2023</t>
  </si>
  <si>
    <t>Stand am 01.01.2023</t>
  </si>
  <si>
    <t>Investitionen 2023</t>
  </si>
  <si>
    <t>Stand am 31.12.2023</t>
  </si>
  <si>
    <t>Bestand am 01.01.2023</t>
  </si>
  <si>
    <t>Abschreibungen 2023</t>
  </si>
  <si>
    <t>Bestand am 31.12.2023</t>
  </si>
  <si>
    <t>Nettobuchwerte am 01.01.2023</t>
  </si>
  <si>
    <t>Nettobuchwerte am 31.12.2023</t>
  </si>
  <si>
    <t xml:space="preserve">Finanzanlagen </t>
  </si>
  <si>
    <t xml:space="preserve">Bei der Beteiligung handelt es sich um eine 50 %-Beteiligung von CHF 25‘000.00 an der Help-Tex GmbH. Die Help-Tex GmbH organisiert Kleider- und Schuhsammlungen zugunsten von Procap Schweiz und des Schweizerischen Blindenbundes. </t>
  </si>
  <si>
    <t>Die Finanzanlagen betreffen Anteile der Anlagelösung Bank Cler "Einkommen nachhaltig". Der Einstandspreis 2023 betrug rund CHF 500'050.00. Der Ertrag aus diesen Anlagen beläuft sich 2023 auf CHF 208.67 Dividende sowie einen nicht realisierten Kursgewinn von CHF 7'704.83</t>
  </si>
  <si>
    <t>Kontrolle</t>
  </si>
  <si>
    <t>Dem freien Kapital wurden insgesamt CHF 300'961.58 belastet. Dieser Betrag setzt sich zusammen aus dem Jahresergebnis von CHF 301'992.88  und der Entnahme aus dem Strukturfonds von CHF 1'031.30.</t>
  </si>
  <si>
    <r>
      <t>Procap Schweiz, als Vertragspartner des Bundesamtes für Sozialversicherung, erhält pro Jahr etwas übe</t>
    </r>
    <r>
      <rPr>
        <sz val="11"/>
        <color indexed="8"/>
        <rFont val="Arial"/>
        <family val="2"/>
      </rPr>
      <t>r CHF 7,18 Mio an Finanzhilfen. Da Procap Schweiz nicht alle Leistungen selber erbringt, wurden mit Untervertragsnehmern entsprechende Verträge abgeschlossen. Die nicht in der Erfolgsrechnung von Procap Schweiz verbuchten Finanzhilfen von ru</t>
    </r>
    <r>
      <rPr>
        <sz val="11"/>
        <rFont val="Arial"/>
        <family val="2"/>
      </rPr>
      <t>nd</t>
    </r>
    <r>
      <rPr>
        <sz val="11"/>
        <color indexed="8"/>
        <rFont val="Arial"/>
        <family val="2"/>
      </rPr>
      <t xml:space="preserve"> CHF 3.37 Mi</t>
    </r>
    <r>
      <rPr>
        <sz val="11"/>
        <rFont val="Arial"/>
        <family val="2"/>
      </rPr>
      <t>o werden diesen Untervertragsnehmern  weitergeleitet.</t>
    </r>
  </si>
  <si>
    <t>Im Jahr 2023 wurde eine Cyberschutzversicherung abgeschlossen.</t>
  </si>
  <si>
    <t xml:space="preserve">Unter dieser Position sind unter anderem die Kosten für die Delegiertenversammlung und die Präsidentenkonferenz, Spesen für den Zentralvorstand und den Zentralvorstandsausschuss sowie die Kosten für die Revisionsstelle enthalten. Die Mitglieder des Zentralvorstandes haben im Jahr 2023 Total CHF 33'072.90  (Vorjahr CHF 32'656.70) an Entschädigungen, Spesen und Honorare erhalten. Der Präsident hat davon total CHF 11'334.85 (Vorjahr CHF 13'671.70) vergütet bekommen; aufgeteilt in Honorare in der Höhe von CHF 5'075.00 (Vorjahr CHF 7'825.00), Pauschalentschädigungen von CHF 5'300.00 (Vorjahr CHF 5'000.00) und Spesenentschädigungen CHF 959.85  (Vorjahr CHF 846.70).  </t>
  </si>
  <si>
    <t>Garantiefonds Schweizer Reisebranche</t>
  </si>
  <si>
    <t>Der Beitrag an Inclusion Handicap ist um CHF 28'800 höher ausgefallen wegen der Inklusionsinitiative.</t>
  </si>
  <si>
    <t xml:space="preserve">Das Ergebnis setzt sich zusammen aus Fremd- und Eigenmietertrag, den direkt die Liegenschaften betreffenden Kosten sowie Abschreibungen in der Höhe von CHF 151'597.00  (Vorjahr CHF 145'273.00) </t>
  </si>
  <si>
    <t>Die Details zu den Fondsveränderungen sind aus der Rechnung über die Veränderung des Kapitals 2022 / 2023 ersichtlich.</t>
  </si>
  <si>
    <t>Erläuterungen zu Positionen der Rechnung über die Veränderung des Kapitals 2022 / 2023</t>
  </si>
  <si>
    <t>Ohne die umfangreiche Freiwilligenarbeit, vor allem im Bereich Reisen &amp; Sport, wäre es Procap Schweiz nicht möglich, die Angebote in diesem Umfang und zu diesen Kosten zu erbringen. 2023 wurden rund 60'000 Arbeitsstunden  von Reiseleiter*innen und -begleiter*innen erbracht. Dies entspricht rund 30 Vollzeitstellen. Sie hatten insgesamt 620 Einsätze und betreuten rund 1300 Kund*innen.</t>
  </si>
  <si>
    <t xml:space="preserve">Kennzahlen gemäss ZEWO-Richtlinien </t>
  </si>
  <si>
    <t>Diese Position umfasst vier Fonds, welche zweckgebunden eingesetzt werden. Die Gelder des Sportfonds werden für Aktivitäten rund um den Sport, diejenigen des Fonds Bauen Bern werden für Aktivitäten im Bereich Bauen im Kanton Bern eingesetzt. Mit dem Fonds Tourismus werden Projekte und Ausgaben im Zusammenhang mit hindernisfreiem Tourismus entschädigt. Ab 2023 besteht aus einem zweckgebundenen Legat neu der Fonds für Ferien mit Kindern mit Handicap.</t>
  </si>
  <si>
    <t>Fonds Ferien Kinder</t>
  </si>
  <si>
    <t xml:space="preserve">Fonds Ferien Kinder </t>
  </si>
  <si>
    <t>In dieser Position sind die Ferien- und Überstundenguthaben der Mitarbeitenden von rund CHF 403'400.00 (Vorjahr CHF 353'900.00), die Abgrenzung des Sammeljahres von rund CHF 456'600.00 (Vorjahr CHF 547'100.00), die Abgrenzungen von Projekten von rund CHF 188'650.00  (Vorjahr CHF 294'500.00), die Abgrenzungen von Dienstleistungen von CHF 239'900.00 (Vorjahr CHF 156'000.–) und andere diverse Abgrenzungen verbucht.</t>
  </si>
  <si>
    <t>Das Sammlungsergebnis netto hat im Vergleich zum Vorjahr um rund CHF 140'500.00 zugenommen. In dieser Position sind neben den Sammlungserträgen auch Beiträge für diverse Projekte enthalten. Im Jahr 2023 wurden mehr Projekte durchgeführt als im Vorjahr, was sich im Bereich der Einnahmen positiv ausgewirkt hat. Bei den Spenden ausserhalb der Sammlungserträge mussten wir einen Rückgang verzeichnen, dafür haben sich die Legate positiv entwickelt. Der Nettoertrag aus den Mailings ist gleich hoch wie im Vorjahr.</t>
  </si>
  <si>
    <t>In dieser Position sind die Abgrenzung des Sammeljahres von rund CHF 290'600.00 (Vorjahr CHF 278'500.00), die Abgrenzungen Reisen für 2023 von rund CHF 70'300.00 (Vorjahr CHF 18'700.00), die Berufshaftpflicht 2024 von CHF 54'100.00 (Vorjahr 0) und andere diverse Abgrenzungen verbucht.</t>
  </si>
  <si>
    <t xml:space="preserve">Aufgrund von Covid konnten in den Jahren 2020 und 2021 die mit dem Bundesamt für Sozialversicherung (BSV) vertraglich vereinbarten Leistungen aufgrund der behördlichen Auflagen nicht vollumfänglich erbracht werden (z.B. Annullierung von Kursen, Treffpunkten und Sportangeboten, Einbruch bei der Reiseberatung). Die Minderleistungen können in den Jahren 2022 und 2023 voraussichtlich vollumgänglich kompensiert werden. Zum heutigen Zeitpunkt geht Procap Schweiz davon aus, dass der vereinbarte Leistungsumfang für die Jahre 2020 bis 2023 vollumfänglich erbracht werden konnte und es zu keinen Rückzahlungen von BSV-Finanzhilfen kommen wird. </t>
  </si>
  <si>
    <t>Die Position umfasst eine Beteiligung, einen Anteilschein und neu ab 2023 Anlagen/Wertschriften-Fonds bei der Bank Cler. Die Bewertung erfolgt zum Marktwert.</t>
  </si>
  <si>
    <r>
      <t xml:space="preserve">Der Personalaufwand ist gegenüber dem Vorjahr um rund CHF 308'300.00 angestiegen. 
</t>
    </r>
    <r>
      <rPr>
        <sz val="11"/>
        <color indexed="8"/>
        <rFont val="Arial"/>
        <family val="2"/>
      </rPr>
      <t>Die Entschädigung der zwei Geschäftsleitungsmitglieder betrug insgesamt CHF 316'451.00  (Vorjahr 321'189.00)  Davon sind rund 47% für ihre Funktion als Geschäftsleitungsmitglieder und die restlichen 53% für ihre Funktionen in den Ressorts.
Das Verhältnis tiefster zu höchster Lohn beträgt 1 zu 3.0  (Vorjahr 2.9). Insgesamt waren 97  (Vorjahr 104) Personen in 65.00 (Vorjahr 66.70) Vollzeitstellen beschäftigt. Davon sind 11  Personen (Vorjahr 11 Personen) in 6.1 Stellen (Vorjahr 6.6 Stellen) Menschen mit einer von der IV anerkannten Behinderung.</t>
    </r>
  </si>
  <si>
    <t>er Dienstleistungsertrag ist gegenüber dem Vorjahr um CHF 883'500.00 angestiegen. In dieser Position sind Einnahmen aus dem Verkauf von Reisen und Sportcamps von rund CHF 2'806'300.00 (Vorjahr CHF 2'240'400.00), Dienstleistungen im Bereich Rechtsdienst von rund CHF 778'500.00 (Vorjahr CHF 588'000.00), Dienstleistungen im Bereich Bauen sowie Bildung&amp;Sensibilisierung von rund CHF 1'134'100 (Vorjahr CHF 1'030'900) und die Verrechnung von zentralen Dienstleistungen von CHF 392'500.00  (Vorjahr CHF 368'500) enthalten. Unter den Dienstleistungen ist der Basisbeitrag 2023 von CHF 2'000.00 von swiss olympic verbucht. Dieser Basisbeitrag ist zweckgebunden und wird im Sinne der allgemeinen Sportförderung eingesetzt.</t>
  </si>
</sst>
</file>

<file path=xl/styles.xml><?xml version="1.0" encoding="utf-8"?>
<styleSheet xmlns="http://schemas.openxmlformats.org/spreadsheetml/2006/main">
  <numFmts count="3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CHF&quot;;\-#,##0\ &quot;CHF&quot;"/>
    <numFmt numFmtId="165" formatCode="#,##0\ &quot;CHF&quot;;[Red]\-#,##0\ &quot;CHF&quot;"/>
    <numFmt numFmtId="166" formatCode="#,##0.00\ &quot;CHF&quot;;\-#,##0.00\ &quot;CHF&quot;"/>
    <numFmt numFmtId="167" formatCode="#,##0.00\ &quot;CHF&quot;;[Red]\-#,##0.00\ &quot;CHF&quot;"/>
    <numFmt numFmtId="168" formatCode="_-* #,##0\ &quot;CHF&quot;_-;\-* #,##0\ &quot;CHF&quot;_-;_-* &quot;-&quot;\ &quot;CHF&quot;_-;_-@_-"/>
    <numFmt numFmtId="169" formatCode="_-* #,##0_-;\-* #,##0_-;_-* &quot;-&quot;_-;_-@_-"/>
    <numFmt numFmtId="170" formatCode="_-* #,##0.00\ &quot;CHF&quot;_-;\-* #,##0.00\ &quot;CHF&quot;_-;_-* &quot;-&quot;??\ &quot;CHF&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 numFmtId="188" formatCode="#,##0.0"/>
    <numFmt numFmtId="189" formatCode="#\'##0.00"/>
    <numFmt numFmtId="190" formatCode="_ * #,##0.000_ ;_ * \-#,##0.000_ ;_ * &quot;-&quot;??_ ;_ @_ "/>
  </numFmts>
  <fonts count="77">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u val="single"/>
      <sz val="9.35"/>
      <color indexed="12"/>
      <name val="Calibri"/>
      <family val="2"/>
    </font>
    <font>
      <u val="single"/>
      <sz val="9.35"/>
      <color indexed="36"/>
      <name val="Calibri"/>
      <family val="2"/>
    </font>
    <font>
      <b/>
      <sz val="11"/>
      <name val="Arial"/>
      <family val="2"/>
    </font>
    <font>
      <sz val="9"/>
      <name val="Segoe UI"/>
      <family val="2"/>
    </font>
    <font>
      <b/>
      <sz val="9"/>
      <name val="Segoe UI"/>
      <family val="2"/>
    </font>
    <font>
      <i/>
      <sz val="9"/>
      <color indexed="8"/>
      <name val="Arial"/>
      <family val="2"/>
    </font>
    <font>
      <b/>
      <i/>
      <sz val="11"/>
      <color indexed="8"/>
      <name val="Arial"/>
      <family val="2"/>
    </font>
    <font>
      <sz val="11"/>
      <color indexed="10"/>
      <name val="Arial"/>
      <family val="2"/>
    </font>
    <font>
      <i/>
      <sz val="10"/>
      <color indexed="8"/>
      <name val="Arial"/>
      <family val="2"/>
    </font>
    <font>
      <sz val="12"/>
      <color indexed="63"/>
      <name val="Arial"/>
      <family val="2"/>
    </font>
    <font>
      <sz val="11"/>
      <color indexed="63"/>
      <name val="Arial"/>
      <family val="2"/>
    </font>
    <font>
      <i/>
      <sz val="11"/>
      <color indexed="8"/>
      <name val="Arial"/>
      <family val="2"/>
    </font>
    <font>
      <u val="single"/>
      <sz val="1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40"/>
      <name val="Arial"/>
      <family val="2"/>
    </font>
    <font>
      <sz val="11"/>
      <color indexed="53"/>
      <name val="Arial"/>
      <family val="2"/>
    </font>
    <font>
      <sz val="11"/>
      <color indexed="30"/>
      <name val="Arial"/>
      <family val="2"/>
    </font>
    <font>
      <i/>
      <sz val="9"/>
      <color indexed="10"/>
      <name val="Arial"/>
      <family val="2"/>
    </font>
    <font>
      <b/>
      <i/>
      <sz val="10"/>
      <color indexed="10"/>
      <name val="Arial"/>
      <family val="2"/>
    </font>
    <font>
      <sz val="11"/>
      <color indexed="9"/>
      <name val="Arial"/>
      <family val="2"/>
    </font>
    <font>
      <sz val="11"/>
      <color indexed="40"/>
      <name val="Calibri"/>
      <family val="2"/>
    </font>
    <font>
      <sz val="11"/>
      <color indexed="17"/>
      <name val="Arial"/>
      <family val="2"/>
    </font>
    <font>
      <sz val="10"/>
      <color indexed="10"/>
      <name val="Arial"/>
      <family val="2"/>
    </font>
    <font>
      <sz val="12"/>
      <color indexed="8"/>
      <name val="Times New Roman"/>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sz val="11"/>
      <color rgb="FF00B0F0"/>
      <name val="Arial"/>
      <family val="2"/>
    </font>
    <font>
      <sz val="11"/>
      <color rgb="FF000000"/>
      <name val="Arial"/>
      <family val="2"/>
    </font>
    <font>
      <sz val="11"/>
      <color theme="1"/>
      <name val="Arial"/>
      <family val="2"/>
    </font>
    <font>
      <sz val="11"/>
      <color theme="9"/>
      <name val="Arial"/>
      <family val="2"/>
    </font>
    <font>
      <sz val="11"/>
      <color rgb="FF0070C0"/>
      <name val="Arial"/>
      <family val="2"/>
    </font>
    <font>
      <i/>
      <sz val="9"/>
      <color rgb="FFFF0000"/>
      <name val="Arial"/>
      <family val="2"/>
    </font>
    <font>
      <b/>
      <i/>
      <sz val="10"/>
      <color rgb="FFFF0000"/>
      <name val="Arial"/>
      <family val="2"/>
    </font>
    <font>
      <b/>
      <sz val="11"/>
      <color theme="1"/>
      <name val="Arial"/>
      <family val="2"/>
    </font>
    <font>
      <sz val="11"/>
      <color theme="0"/>
      <name val="Arial"/>
      <family val="2"/>
    </font>
    <font>
      <sz val="11"/>
      <color rgb="FF00B0F0"/>
      <name val="Calibri"/>
      <family val="2"/>
    </font>
    <font>
      <sz val="11"/>
      <color rgb="FF00B050"/>
      <name val="Arial"/>
      <family val="2"/>
    </font>
    <font>
      <sz val="10"/>
      <color rgb="FFFF0000"/>
      <name val="Arial"/>
      <family val="2"/>
    </font>
    <font>
      <sz val="11"/>
      <color theme="1" tint="0.24998000264167786"/>
      <name val="Arial"/>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5" borderId="2" applyNumberFormat="0" applyAlignment="0" applyProtection="0"/>
    <xf numFmtId="0" fontId="8" fillId="0" borderId="0" applyNumberFormat="0" applyFill="0" applyBorder="0" applyAlignment="0" applyProtection="0"/>
    <xf numFmtId="41" fontId="1" fillId="0" borderId="0" applyFont="0" applyFill="0" applyBorder="0" applyAlignment="0" applyProtection="0"/>
    <xf numFmtId="0" fontId="49" fillId="26"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53"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83" fontId="1" fillId="0" borderId="0" applyFont="0" applyFill="0" applyBorder="0" applyAlignment="0" applyProtection="0"/>
    <xf numFmtId="182" fontId="1" fillId="0" borderId="0" applyFont="0" applyFill="0" applyBorder="0" applyAlignment="0" applyProtection="0"/>
    <xf numFmtId="0" fontId="60" fillId="0" borderId="0" applyNumberFormat="0" applyFill="0" applyBorder="0" applyAlignment="0" applyProtection="0"/>
    <xf numFmtId="0" fontId="61" fillId="31" borderId="9" applyNumberFormat="0" applyAlignment="0" applyProtection="0"/>
  </cellStyleXfs>
  <cellXfs count="154">
    <xf numFmtId="0" fontId="0" fillId="0" borderId="0" xfId="0" applyFont="1" applyAlignment="1">
      <alignment/>
    </xf>
    <xf numFmtId="0" fontId="4" fillId="0" borderId="0" xfId="0" applyFont="1" applyAlignment="1">
      <alignment/>
    </xf>
    <xf numFmtId="0" fontId="5" fillId="0" borderId="0" xfId="0" applyFont="1" applyAlignment="1">
      <alignment horizontal="left" vertical="center"/>
    </xf>
    <xf numFmtId="0" fontId="5" fillId="0" borderId="0" xfId="0" applyFont="1" applyAlignment="1">
      <alignment vertical="center"/>
    </xf>
    <xf numFmtId="4" fontId="5" fillId="0" borderId="10" xfId="0" applyNumberFormat="1" applyFont="1" applyBorder="1" applyAlignment="1">
      <alignment vertical="center"/>
    </xf>
    <xf numFmtId="0" fontId="5"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Alignment="1">
      <alignment/>
    </xf>
    <xf numFmtId="0" fontId="5" fillId="0" borderId="0" xfId="0" applyFont="1" applyAlignment="1">
      <alignment horizontal="right"/>
    </xf>
    <xf numFmtId="4" fontId="5" fillId="0" borderId="0" xfId="0" applyNumberFormat="1" applyFont="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0" xfId="0" applyFont="1" applyBorder="1" applyAlignment="1">
      <alignment/>
    </xf>
    <xf numFmtId="4" fontId="5" fillId="0" borderId="10" xfId="0" applyNumberFormat="1"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right"/>
    </xf>
    <xf numFmtId="0" fontId="5" fillId="0" borderId="12" xfId="0" applyFont="1" applyBorder="1" applyAlignment="1">
      <alignment/>
    </xf>
    <xf numFmtId="0" fontId="5" fillId="0" borderId="12" xfId="0" applyFont="1" applyBorder="1" applyAlignment="1">
      <alignment horizontal="center"/>
    </xf>
    <xf numFmtId="0" fontId="6" fillId="0" borderId="0" xfId="0" applyFont="1" applyAlignment="1">
      <alignment/>
    </xf>
    <xf numFmtId="14" fontId="5" fillId="0" borderId="0" xfId="0" applyNumberFormat="1" applyFont="1" applyAlignment="1">
      <alignment/>
    </xf>
    <xf numFmtId="0" fontId="5" fillId="0" borderId="11" xfId="0" applyFont="1" applyBorder="1" applyAlignment="1">
      <alignment horizontal="right"/>
    </xf>
    <xf numFmtId="0" fontId="5" fillId="0" borderId="13" xfId="0" applyFont="1" applyBorder="1" applyAlignment="1">
      <alignment/>
    </xf>
    <xf numFmtId="0" fontId="5" fillId="0" borderId="13" xfId="0" applyFont="1" applyBorder="1" applyAlignment="1">
      <alignment horizontal="right"/>
    </xf>
    <xf numFmtId="0" fontId="3" fillId="0" borderId="0" xfId="0" applyFont="1" applyAlignment="1">
      <alignment/>
    </xf>
    <xf numFmtId="4" fontId="5" fillId="0" borderId="12"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2" fillId="0" borderId="12" xfId="0" applyFont="1" applyBorder="1" applyAlignment="1">
      <alignment horizontal="center"/>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9" fillId="0" borderId="11" xfId="0" applyFont="1" applyBorder="1" applyAlignment="1">
      <alignment/>
    </xf>
    <xf numFmtId="0" fontId="9" fillId="0" borderId="0" xfId="0" applyFont="1" applyAlignment="1">
      <alignment/>
    </xf>
    <xf numFmtId="0" fontId="3" fillId="0" borderId="12"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0" fontId="0" fillId="0" borderId="0" xfId="0" applyAlignment="1">
      <alignment horizontal="justify" wrapText="1"/>
    </xf>
    <xf numFmtId="4" fontId="2" fillId="0" borderId="0" xfId="0" applyNumberFormat="1" applyFont="1" applyAlignment="1">
      <alignment horizontal="right"/>
    </xf>
    <xf numFmtId="0" fontId="2" fillId="0" borderId="12" xfId="0" applyFont="1" applyBorder="1" applyAlignment="1">
      <alignment/>
    </xf>
    <xf numFmtId="4" fontId="2" fillId="0" borderId="0" xfId="0" applyNumberFormat="1" applyFont="1" applyAlignment="1">
      <alignment vertical="center"/>
    </xf>
    <xf numFmtId="4" fontId="3" fillId="0" borderId="0" xfId="0" applyNumberFormat="1" applyFont="1" applyFill="1" applyAlignment="1">
      <alignment/>
    </xf>
    <xf numFmtId="0" fontId="62" fillId="0" borderId="0" xfId="0" applyFont="1" applyAlignment="1">
      <alignment/>
    </xf>
    <xf numFmtId="0" fontId="62" fillId="0" borderId="0" xfId="0" applyFont="1" applyAlignment="1">
      <alignment horizontal="right"/>
    </xf>
    <xf numFmtId="4" fontId="62" fillId="0" borderId="0" xfId="0" applyNumberFormat="1" applyFont="1" applyAlignment="1">
      <alignment/>
    </xf>
    <xf numFmtId="0" fontId="62" fillId="0" borderId="0" xfId="0" applyFont="1" applyAlignment="1">
      <alignment wrapText="1"/>
    </xf>
    <xf numFmtId="0" fontId="63" fillId="0" borderId="0" xfId="0" applyFont="1" applyAlignment="1">
      <alignment horizontal="center"/>
    </xf>
    <xf numFmtId="0" fontId="63" fillId="0" borderId="0" xfId="0" applyFont="1" applyAlignment="1">
      <alignment/>
    </xf>
    <xf numFmtId="0" fontId="3" fillId="0" borderId="0" xfId="0" applyFont="1" applyAlignment="1">
      <alignment horizontal="center"/>
    </xf>
    <xf numFmtId="0" fontId="3" fillId="0" borderId="0" xfId="0" applyFont="1" applyAlignment="1">
      <alignment horizontal="left" readingOrder="1"/>
    </xf>
    <xf numFmtId="0" fontId="64" fillId="0" borderId="0" xfId="0" applyFont="1" applyAlignment="1">
      <alignment vertical="center"/>
    </xf>
    <xf numFmtId="4" fontId="65" fillId="0" borderId="0" xfId="0" applyNumberFormat="1" applyFont="1" applyAlignment="1">
      <alignment/>
    </xf>
    <xf numFmtId="0" fontId="65" fillId="0" borderId="0" xfId="0" applyFont="1" applyAlignment="1">
      <alignment/>
    </xf>
    <xf numFmtId="14" fontId="5" fillId="0" borderId="0" xfId="0" applyNumberFormat="1" applyFont="1" applyAlignment="1">
      <alignment horizontal="right" wrapText="1"/>
    </xf>
    <xf numFmtId="0" fontId="13" fillId="32" borderId="0" xfId="0" applyFont="1" applyFill="1" applyAlignment="1">
      <alignment/>
    </xf>
    <xf numFmtId="0" fontId="6" fillId="0" borderId="0" xfId="0" applyFont="1" applyAlignment="1">
      <alignment horizontal="left" vertical="top"/>
    </xf>
    <xf numFmtId="0" fontId="50"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right" vertical="center"/>
    </xf>
    <xf numFmtId="0" fontId="2" fillId="0" borderId="12" xfId="0" applyFont="1" applyBorder="1" applyAlignment="1">
      <alignment vertical="center"/>
    </xf>
    <xf numFmtId="4" fontId="2" fillId="0" borderId="12" xfId="0" applyNumberFormat="1" applyFont="1" applyBorder="1" applyAlignment="1">
      <alignment vertical="center"/>
    </xf>
    <xf numFmtId="4" fontId="5" fillId="0" borderId="0" xfId="0" applyNumberFormat="1" applyFont="1" applyAlignment="1">
      <alignment vertical="center"/>
    </xf>
    <xf numFmtId="0" fontId="2" fillId="0" borderId="10" xfId="0" applyFont="1" applyBorder="1" applyAlignment="1">
      <alignment vertical="center"/>
    </xf>
    <xf numFmtId="0" fontId="2" fillId="0" borderId="11" xfId="0" applyFont="1" applyBorder="1" applyAlignment="1">
      <alignment/>
    </xf>
    <xf numFmtId="4" fontId="3" fillId="0" borderId="12" xfId="0" applyNumberFormat="1" applyFont="1" applyBorder="1" applyAlignment="1">
      <alignment/>
    </xf>
    <xf numFmtId="4" fontId="2" fillId="0" borderId="12" xfId="0" applyNumberFormat="1" applyFont="1" applyBorder="1" applyAlignment="1">
      <alignment/>
    </xf>
    <xf numFmtId="4" fontId="2" fillId="0" borderId="0" xfId="0" applyNumberFormat="1"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readingOrder="1"/>
    </xf>
    <xf numFmtId="14" fontId="2" fillId="0" borderId="0" xfId="0" applyNumberFormat="1" applyFont="1" applyAlignment="1">
      <alignment vertical="center"/>
    </xf>
    <xf numFmtId="0" fontId="66" fillId="0" borderId="0" xfId="0" applyFont="1" applyAlignment="1">
      <alignment vertical="center"/>
    </xf>
    <xf numFmtId="4" fontId="67" fillId="0" borderId="0" xfId="0" applyNumberFormat="1" applyFont="1" applyAlignment="1">
      <alignment vertical="center"/>
    </xf>
    <xf numFmtId="4" fontId="3" fillId="0" borderId="0" xfId="0" applyNumberFormat="1" applyFont="1" applyAlignment="1">
      <alignment vertical="center"/>
    </xf>
    <xf numFmtId="0" fontId="3" fillId="0" borderId="0" xfId="0" applyFont="1" applyAlignment="1">
      <alignment vertical="center"/>
    </xf>
    <xf numFmtId="0" fontId="15" fillId="0" borderId="0" xfId="0" applyFont="1" applyAlignment="1">
      <alignment/>
    </xf>
    <xf numFmtId="4" fontId="15" fillId="0" borderId="0" xfId="0" applyNumberFormat="1" applyFont="1" applyAlignment="1">
      <alignment/>
    </xf>
    <xf numFmtId="4" fontId="63" fillId="0" borderId="0" xfId="0" applyNumberFormat="1" applyFont="1" applyAlignment="1">
      <alignment/>
    </xf>
    <xf numFmtId="4" fontId="68" fillId="0" borderId="0" xfId="0" applyNumberFormat="1" applyFont="1" applyAlignment="1">
      <alignment/>
    </xf>
    <xf numFmtId="4" fontId="6" fillId="0" borderId="0" xfId="0" applyNumberFormat="1" applyFont="1" applyAlignment="1">
      <alignment/>
    </xf>
    <xf numFmtId="4" fontId="12" fillId="0" borderId="0" xfId="0" applyNumberFormat="1" applyFont="1" applyAlignment="1">
      <alignment/>
    </xf>
    <xf numFmtId="4" fontId="69" fillId="0" borderId="0" xfId="0" applyNumberFormat="1" applyFont="1" applyAlignment="1">
      <alignment/>
    </xf>
    <xf numFmtId="0" fontId="70" fillId="0" borderId="0" xfId="0" applyFont="1" applyAlignment="1">
      <alignment/>
    </xf>
    <xf numFmtId="0" fontId="70" fillId="0" borderId="0" xfId="0" applyFont="1" applyAlignment="1">
      <alignment horizontal="right"/>
    </xf>
    <xf numFmtId="4" fontId="65" fillId="0" borderId="0" xfId="0" applyNumberFormat="1" applyFont="1" applyAlignment="1">
      <alignment horizontal="right"/>
    </xf>
    <xf numFmtId="0" fontId="65" fillId="0" borderId="0" xfId="0" applyFont="1" applyAlignment="1">
      <alignment horizontal="right"/>
    </xf>
    <xf numFmtId="0" fontId="65" fillId="0" borderId="12" xfId="0" applyFont="1" applyBorder="1" applyAlignment="1">
      <alignment/>
    </xf>
    <xf numFmtId="0" fontId="70" fillId="0" borderId="12" xfId="0" applyFont="1" applyBorder="1" applyAlignment="1">
      <alignment horizontal="center"/>
    </xf>
    <xf numFmtId="0" fontId="70" fillId="0" borderId="12" xfId="0" applyFont="1" applyBorder="1" applyAlignment="1">
      <alignment horizontal="right"/>
    </xf>
    <xf numFmtId="0" fontId="70" fillId="0" borderId="12" xfId="0" applyFont="1" applyBorder="1" applyAlignment="1">
      <alignment/>
    </xf>
    <xf numFmtId="0" fontId="65" fillId="0" borderId="12" xfId="0" applyFont="1" applyBorder="1" applyAlignment="1">
      <alignment horizontal="center"/>
    </xf>
    <xf numFmtId="4" fontId="70" fillId="0" borderId="12" xfId="0" applyNumberFormat="1" applyFont="1" applyBorder="1" applyAlignment="1">
      <alignment/>
    </xf>
    <xf numFmtId="0" fontId="65" fillId="0" borderId="0" xfId="0" applyFont="1" applyAlignment="1">
      <alignment horizontal="center"/>
    </xf>
    <xf numFmtId="4" fontId="70" fillId="0" borderId="0" xfId="0" applyNumberFormat="1" applyFont="1" applyAlignment="1">
      <alignment/>
    </xf>
    <xf numFmtId="0" fontId="70" fillId="0" borderId="11" xfId="0" applyFont="1" applyBorder="1" applyAlignment="1">
      <alignment/>
    </xf>
    <xf numFmtId="4" fontId="70" fillId="0" borderId="11" xfId="0" applyNumberFormat="1" applyFont="1" applyBorder="1" applyAlignment="1">
      <alignment/>
    </xf>
    <xf numFmtId="4" fontId="71" fillId="0" borderId="0" xfId="0" applyNumberFormat="1" applyFont="1" applyAlignment="1">
      <alignment/>
    </xf>
    <xf numFmtId="0" fontId="12" fillId="0" borderId="0" xfId="0" applyFont="1" applyAlignment="1">
      <alignment/>
    </xf>
    <xf numFmtId="0" fontId="5" fillId="0" borderId="0" xfId="0" applyFont="1" applyAlignment="1">
      <alignment horizontal="left" vertical="top" wrapText="1"/>
    </xf>
    <xf numFmtId="0" fontId="72" fillId="0" borderId="0" xfId="0" applyFont="1" applyAlignment="1">
      <alignment horizontal="left" vertical="top" wrapText="1"/>
    </xf>
    <xf numFmtId="0" fontId="2" fillId="0" borderId="0" xfId="0" applyFont="1" applyAlignment="1">
      <alignment horizontal="left" vertical="top"/>
    </xf>
    <xf numFmtId="0" fontId="18" fillId="0" borderId="0" xfId="0" applyFont="1" applyAlignment="1">
      <alignment/>
    </xf>
    <xf numFmtId="0" fontId="18" fillId="0" borderId="0" xfId="0" applyFont="1" applyAlignment="1">
      <alignment horizontal="right"/>
    </xf>
    <xf numFmtId="4" fontId="18" fillId="0" borderId="0" xfId="0" applyNumberFormat="1" applyFont="1" applyAlignment="1">
      <alignment/>
    </xf>
    <xf numFmtId="0" fontId="19" fillId="0" borderId="0" xfId="0" applyFont="1" applyAlignment="1">
      <alignment/>
    </xf>
    <xf numFmtId="0" fontId="73" fillId="0" borderId="0" xfId="0" applyFont="1" applyAlignment="1">
      <alignment/>
    </xf>
    <xf numFmtId="43" fontId="2" fillId="0" borderId="0" xfId="48" applyFont="1" applyAlignment="1">
      <alignment/>
    </xf>
    <xf numFmtId="4" fontId="9" fillId="0" borderId="13" xfId="0" applyNumberFormat="1" applyFont="1" applyBorder="1" applyAlignment="1">
      <alignment/>
    </xf>
    <xf numFmtId="189" fontId="2" fillId="0" borderId="0" xfId="0" applyNumberFormat="1" applyFont="1" applyAlignment="1">
      <alignment/>
    </xf>
    <xf numFmtId="43" fontId="2" fillId="0" borderId="0" xfId="0" applyNumberFormat="1" applyFont="1" applyAlignment="1">
      <alignment/>
    </xf>
    <xf numFmtId="43" fontId="5" fillId="0" borderId="0" xfId="0" applyNumberFormat="1" applyFont="1" applyAlignment="1">
      <alignment/>
    </xf>
    <xf numFmtId="43" fontId="5" fillId="0" borderId="0" xfId="48" applyFont="1" applyAlignment="1">
      <alignment/>
    </xf>
    <xf numFmtId="2" fontId="2" fillId="0" borderId="0" xfId="0" applyNumberFormat="1" applyFont="1" applyAlignment="1">
      <alignment/>
    </xf>
    <xf numFmtId="0" fontId="9" fillId="0" borderId="0" xfId="0" applyFont="1" applyAlignment="1">
      <alignment horizontal="left" vertical="top" wrapText="1"/>
    </xf>
    <xf numFmtId="0" fontId="6" fillId="0" borderId="0" xfId="0" applyFont="1" applyAlignment="1">
      <alignment horizontal="left"/>
    </xf>
    <xf numFmtId="0" fontId="2" fillId="32" borderId="0" xfId="0" applyFont="1" applyFill="1" applyAlignment="1">
      <alignment/>
    </xf>
    <xf numFmtId="0" fontId="2" fillId="32" borderId="0" xfId="0" applyFont="1" applyFill="1" applyAlignment="1">
      <alignment horizontal="right"/>
    </xf>
    <xf numFmtId="0" fontId="62" fillId="0" borderId="0" xfId="0" applyFont="1" applyAlignment="1">
      <alignment horizontal="left" vertical="top" wrapText="1"/>
    </xf>
    <xf numFmtId="0" fontId="0" fillId="0" borderId="0" xfId="0" applyAlignment="1">
      <alignment horizontal="left" vertical="top" wrapText="1" readingOrder="1"/>
    </xf>
    <xf numFmtId="43" fontId="2" fillId="0" borderId="0" xfId="47" applyFont="1" applyAlignment="1">
      <alignment/>
    </xf>
    <xf numFmtId="43" fontId="2" fillId="0" borderId="0" xfId="47" applyFont="1" applyAlignment="1">
      <alignment horizontal="right"/>
    </xf>
    <xf numFmtId="43" fontId="70" fillId="0" borderId="12" xfId="47" applyFont="1" applyBorder="1" applyAlignment="1">
      <alignment/>
    </xf>
    <xf numFmtId="4" fontId="2" fillId="0" borderId="11" xfId="0" applyNumberFormat="1" applyFont="1" applyBorder="1" applyAlignment="1">
      <alignment/>
    </xf>
    <xf numFmtId="0" fontId="5"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readingOrder="1"/>
    </xf>
    <xf numFmtId="0" fontId="0" fillId="0" borderId="0" xfId="0" applyAlignment="1">
      <alignment horizontal="left" vertical="top" wrapText="1" readingOrder="1"/>
    </xf>
    <xf numFmtId="0" fontId="65" fillId="0" borderId="0" xfId="0" applyFont="1" applyAlignment="1">
      <alignment horizontal="left" vertical="top" wrapText="1" readingOrder="1"/>
    </xf>
    <xf numFmtId="0" fontId="3" fillId="0" borderId="0" xfId="0" applyFont="1" applyAlignment="1">
      <alignment horizontal="left" vertical="top" wrapText="1"/>
    </xf>
    <xf numFmtId="0" fontId="9" fillId="0" borderId="0" xfId="0" applyFont="1" applyAlignment="1">
      <alignment horizontal="left" vertical="top" wrapText="1"/>
    </xf>
    <xf numFmtId="0" fontId="65" fillId="0" borderId="14" xfId="0" applyFont="1" applyBorder="1" applyAlignment="1">
      <alignment horizontal="left"/>
    </xf>
    <xf numFmtId="0" fontId="2"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vertical="top" wrapText="1"/>
    </xf>
    <xf numFmtId="0" fontId="63"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9" fillId="0" borderId="0" xfId="0" applyFont="1" applyAlignment="1">
      <alignment horizontal="left" vertical="top" wrapText="1" readingOrder="1"/>
    </xf>
    <xf numFmtId="0" fontId="62" fillId="0" borderId="0" xfId="0" applyFont="1" applyAlignment="1">
      <alignment horizontal="left" vertical="top" wrapText="1" readingOrder="1"/>
    </xf>
    <xf numFmtId="0" fontId="74" fillId="0" borderId="0" xfId="0" applyFont="1" applyAlignment="1">
      <alignment horizontal="left" vertical="top" wrapText="1"/>
    </xf>
    <xf numFmtId="0" fontId="75" fillId="0" borderId="0" xfId="0" applyFont="1" applyAlignment="1">
      <alignment horizontal="left" vertical="center" wrapText="1" readingOrder="1"/>
    </xf>
    <xf numFmtId="4" fontId="3" fillId="0" borderId="0" xfId="0" applyNumberFormat="1" applyFont="1" applyAlignment="1">
      <alignment horizontal="left" vertical="top" wrapText="1" readingOrder="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66675</xdr:rowOff>
    </xdr:from>
    <xdr:to>
      <xdr:col>5</xdr:col>
      <xdr:colOff>0</xdr:colOff>
      <xdr:row>2</xdr:row>
      <xdr:rowOff>0</xdr:rowOff>
    </xdr:to>
    <xdr:sp>
      <xdr:nvSpPr>
        <xdr:cNvPr id="1" name="Rectangle 2"/>
        <xdr:cNvSpPr>
          <a:spLocks/>
        </xdr:cNvSpPr>
      </xdr:nvSpPr>
      <xdr:spPr>
        <a:xfrm>
          <a:off x="3676650" y="66675"/>
          <a:ext cx="1295400" cy="55245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3</xdr:col>
      <xdr:colOff>771525</xdr:colOff>
      <xdr:row>0</xdr:row>
      <xdr:rowOff>0</xdr:rowOff>
    </xdr:from>
    <xdr:to>
      <xdr:col>7</xdr:col>
      <xdr:colOff>114300</xdr:colOff>
      <xdr:row>3</xdr:row>
      <xdr:rowOff>47625</xdr:rowOff>
    </xdr:to>
    <xdr:pic>
      <xdr:nvPicPr>
        <xdr:cNvPr id="2" name="Picture 1"/>
        <xdr:cNvPicPr preferRelativeResize="1">
          <a:picLocks noChangeAspect="1"/>
        </xdr:cNvPicPr>
      </xdr:nvPicPr>
      <xdr:blipFill>
        <a:blip r:embed="rId1"/>
        <a:stretch>
          <a:fillRect/>
        </a:stretch>
      </xdr:blipFill>
      <xdr:spPr>
        <a:xfrm>
          <a:off x="4467225" y="0"/>
          <a:ext cx="1905000"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alupo\AppData\Local\Microsoft\Windows\INetCache\Content.Outlook\7HLXP1WZ\FR_und_DE_Jahresrechnung_2023%20in%20Bearb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R23_DE Anhang"/>
      <sheetName val="JR23_DE für Versand"/>
      <sheetName val="JR23_DE_Gaby"/>
      <sheetName val="JR23_DE mit Infos"/>
      <sheetName val="JR22_DE für Versand"/>
      <sheetName val="JR22_DE V2 mit Infos"/>
      <sheetName val="JR22_DE alt"/>
      <sheetName val="JR21_FR"/>
    </sheetNames>
    <sheetDataSet>
      <sheetData sheetId="5">
        <row r="304">
          <cell r="F304">
            <v>38237.9</v>
          </cell>
        </row>
        <row r="305">
          <cell r="F305">
            <v>88005.62</v>
          </cell>
        </row>
        <row r="306">
          <cell r="F306">
            <v>47419.3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pageSetUpPr fitToPage="1"/>
  </sheetPr>
  <dimension ref="A1:W573"/>
  <sheetViews>
    <sheetView tabSelected="1" zoomScaleSheetLayoutView="85" zoomScalePageLayoutView="85" workbookViewId="0" topLeftCell="A1">
      <selection activeCell="D353" sqref="D353"/>
    </sheetView>
  </sheetViews>
  <sheetFormatPr defaultColWidth="11.421875" defaultRowHeight="15"/>
  <cols>
    <col min="1" max="1" width="37.57421875" style="31" customWidth="1"/>
    <col min="2" max="2" width="16.140625" style="31" customWidth="1"/>
    <col min="3" max="3" width="1.7109375" style="31" customWidth="1"/>
    <col min="4" max="4" width="17.421875" style="31" customWidth="1"/>
    <col min="5" max="5" width="1.7109375" style="31" customWidth="1"/>
    <col min="6" max="6" width="17.57421875" style="31" customWidth="1"/>
    <col min="7" max="7" width="1.7109375" style="31" customWidth="1"/>
    <col min="8" max="8" width="15.8515625" style="31" customWidth="1"/>
    <col min="9" max="9" width="2.28125" style="31" customWidth="1"/>
    <col min="10" max="10" width="15.00390625" style="31" customWidth="1"/>
    <col min="11" max="11" width="1.8515625" style="31" customWidth="1"/>
    <col min="12" max="12" width="19.140625" style="31" customWidth="1"/>
    <col min="13" max="13" width="1.7109375" style="31" customWidth="1"/>
    <col min="14" max="14" width="14.8515625" style="31" customWidth="1"/>
    <col min="15" max="15" width="3.140625" style="31" customWidth="1"/>
    <col min="16" max="16" width="16.140625" style="31" customWidth="1"/>
    <col min="17" max="17" width="18.140625" style="31" customWidth="1"/>
    <col min="18" max="18" width="11.421875" style="31" customWidth="1"/>
    <col min="19" max="19" width="21.00390625" style="31" customWidth="1"/>
    <col min="20" max="16384" width="11.421875" style="31" customWidth="1"/>
  </cols>
  <sheetData>
    <row r="1" ht="34.5">
      <c r="A1" s="1" t="s">
        <v>46</v>
      </c>
    </row>
    <row r="2" ht="14.25"/>
    <row r="3" ht="14.25"/>
    <row r="4" spans="1:17" ht="65.25" customHeight="1">
      <c r="A4" s="136" t="s">
        <v>178</v>
      </c>
      <c r="B4" s="136"/>
      <c r="C4" s="136"/>
      <c r="D4" s="136"/>
      <c r="E4" s="136"/>
      <c r="F4" s="136"/>
      <c r="G4" s="61"/>
      <c r="H4" s="150"/>
      <c r="I4" s="150"/>
      <c r="J4" s="150"/>
      <c r="K4" s="150"/>
      <c r="L4" s="150"/>
      <c r="M4" s="151"/>
      <c r="N4" s="151"/>
      <c r="O4" s="151"/>
      <c r="P4" s="151"/>
      <c r="Q4" s="151"/>
    </row>
    <row r="5" ht="14.25"/>
    <row r="6" s="43" customFormat="1" ht="18" customHeight="1">
      <c r="A6" s="2" t="s">
        <v>47</v>
      </c>
    </row>
    <row r="7" s="43" customFormat="1" ht="18" customHeight="1"/>
    <row r="8" spans="1:8" s="43" customFormat="1" ht="18" customHeight="1">
      <c r="A8" s="3" t="s">
        <v>48</v>
      </c>
      <c r="B8" s="69" t="s">
        <v>49</v>
      </c>
      <c r="C8" s="3" t="s">
        <v>226</v>
      </c>
      <c r="D8" s="3" t="s">
        <v>244</v>
      </c>
      <c r="E8" s="3"/>
      <c r="F8" s="3" t="s">
        <v>214</v>
      </c>
      <c r="G8" s="70"/>
      <c r="H8" s="70"/>
    </row>
    <row r="9" s="43" customFormat="1" ht="18" customHeight="1"/>
    <row r="10" spans="1:11" s="43" customFormat="1" ht="18" customHeight="1">
      <c r="A10" s="3" t="s">
        <v>52</v>
      </c>
      <c r="K10" s="52"/>
    </row>
    <row r="11" spans="1:11" s="43" customFormat="1" ht="18" customHeight="1">
      <c r="A11" s="43" t="s">
        <v>53</v>
      </c>
      <c r="B11" s="39" t="s">
        <v>57</v>
      </c>
      <c r="C11" s="52">
        <v>3947825.33</v>
      </c>
      <c r="D11" s="52">
        <v>2386254.64</v>
      </c>
      <c r="F11" s="52">
        <v>3947825.33</v>
      </c>
      <c r="G11" s="52"/>
      <c r="H11" s="52"/>
      <c r="J11" s="52"/>
      <c r="K11" s="52"/>
    </row>
    <row r="12" spans="1:11" s="43" customFormat="1" ht="18" customHeight="1">
      <c r="A12" s="43" t="s">
        <v>54</v>
      </c>
      <c r="B12" s="39" t="s">
        <v>58</v>
      </c>
      <c r="C12" s="52">
        <v>936413.29</v>
      </c>
      <c r="D12" s="52">
        <f>674733.26+172874.57</f>
        <v>847607.8300000001</v>
      </c>
      <c r="F12" s="52">
        <v>936413.29</v>
      </c>
      <c r="G12" s="52"/>
      <c r="H12" s="52"/>
      <c r="J12" s="52"/>
      <c r="K12" s="52"/>
    </row>
    <row r="13" spans="1:11" s="43" customFormat="1" ht="18" customHeight="1">
      <c r="A13" s="43" t="s">
        <v>55</v>
      </c>
      <c r="B13" s="39"/>
      <c r="C13" s="52">
        <v>6500</v>
      </c>
      <c r="D13" s="52">
        <v>4900</v>
      </c>
      <c r="F13" s="52">
        <v>6500</v>
      </c>
      <c r="G13" s="52"/>
      <c r="H13" s="52"/>
      <c r="J13" s="52"/>
      <c r="K13" s="52"/>
    </row>
    <row r="14" spans="1:11" s="43" customFormat="1" ht="18" customHeight="1">
      <c r="A14" s="43" t="s">
        <v>56</v>
      </c>
      <c r="B14" s="39" t="s">
        <v>62</v>
      </c>
      <c r="C14" s="52">
        <v>369683.11</v>
      </c>
      <c r="D14" s="52">
        <v>552478.56</v>
      </c>
      <c r="F14" s="52">
        <v>369683.11</v>
      </c>
      <c r="G14" s="52"/>
      <c r="H14" s="52"/>
      <c r="J14" s="52"/>
      <c r="K14" s="52"/>
    </row>
    <row r="15" spans="1:11" s="43" customFormat="1" ht="18" customHeight="1">
      <c r="A15" s="71"/>
      <c r="B15" s="71"/>
      <c r="C15" s="72"/>
      <c r="D15" s="72"/>
      <c r="E15" s="71"/>
      <c r="F15" s="72"/>
      <c r="G15" s="52"/>
      <c r="H15" s="52"/>
      <c r="J15" s="52"/>
      <c r="K15" s="52"/>
    </row>
    <row r="16" spans="3:11" s="43" customFormat="1" ht="18" customHeight="1">
      <c r="C16" s="73">
        <f>SUM(C11:C15)</f>
        <v>5260421.73</v>
      </c>
      <c r="D16" s="73">
        <f>SUM(D11:D15)</f>
        <v>3791241.0300000003</v>
      </c>
      <c r="F16" s="73">
        <f>SUM(F11:F15)</f>
        <v>5260421.73</v>
      </c>
      <c r="G16" s="73"/>
      <c r="H16" s="73"/>
      <c r="J16" s="52"/>
      <c r="K16" s="52"/>
    </row>
    <row r="17" spans="7:11" s="43" customFormat="1" ht="18" customHeight="1">
      <c r="G17" s="52"/>
      <c r="H17" s="52"/>
      <c r="J17" s="52"/>
      <c r="K17" s="52"/>
    </row>
    <row r="18" spans="1:11" s="43" customFormat="1" ht="18" customHeight="1">
      <c r="A18" s="3" t="s">
        <v>59</v>
      </c>
      <c r="G18" s="52"/>
      <c r="H18" s="52"/>
      <c r="J18" s="52"/>
      <c r="K18" s="52"/>
    </row>
    <row r="19" spans="1:17" s="43" customFormat="1" ht="18" customHeight="1">
      <c r="A19" s="43" t="s">
        <v>60</v>
      </c>
      <c r="B19" s="39" t="s">
        <v>63</v>
      </c>
      <c r="C19" s="52">
        <v>1181390</v>
      </c>
      <c r="D19" s="52">
        <f>568714+1362971</f>
        <v>1931685</v>
      </c>
      <c r="F19" s="52">
        <v>1181390</v>
      </c>
      <c r="G19" s="52"/>
      <c r="H19" s="52"/>
      <c r="J19" s="52"/>
      <c r="K19" s="52"/>
      <c r="P19" s="81"/>
      <c r="Q19" s="52"/>
    </row>
    <row r="20" spans="1:17" s="43" customFormat="1" ht="18" customHeight="1">
      <c r="A20" s="43" t="s">
        <v>61</v>
      </c>
      <c r="B20" s="39" t="s">
        <v>64</v>
      </c>
      <c r="C20" s="52">
        <v>29000</v>
      </c>
      <c r="D20" s="52">
        <v>536756</v>
      </c>
      <c r="F20" s="52">
        <v>29000</v>
      </c>
      <c r="G20" s="52"/>
      <c r="H20" s="52"/>
      <c r="J20" s="52"/>
      <c r="K20" s="52"/>
      <c r="L20" s="52"/>
      <c r="Q20" s="52"/>
    </row>
    <row r="21" spans="3:17" s="43" customFormat="1" ht="18" customHeight="1">
      <c r="C21" s="52"/>
      <c r="D21" s="52"/>
      <c r="F21" s="52"/>
      <c r="G21" s="52"/>
      <c r="H21" s="52"/>
      <c r="J21" s="52"/>
      <c r="K21" s="52"/>
      <c r="Q21" s="52"/>
    </row>
    <row r="22" spans="1:17" s="43" customFormat="1" ht="18" customHeight="1">
      <c r="A22" s="71"/>
      <c r="B22" s="71"/>
      <c r="C22" s="72"/>
      <c r="D22" s="72"/>
      <c r="E22" s="71"/>
      <c r="F22" s="72"/>
      <c r="G22" s="52"/>
      <c r="H22" s="52"/>
      <c r="J22" s="52"/>
      <c r="K22" s="52"/>
      <c r="Q22" s="52"/>
    </row>
    <row r="23" spans="1:18" s="43" customFormat="1" ht="18" customHeight="1">
      <c r="A23" s="74"/>
      <c r="B23" s="74"/>
      <c r="C23" s="4">
        <f>SUM(C19:C21)</f>
        <v>1210390</v>
      </c>
      <c r="D23" s="4">
        <f>SUM(D19:D21)</f>
        <v>2468441</v>
      </c>
      <c r="E23" s="4">
        <f>SUM(E19:E21)</f>
        <v>0</v>
      </c>
      <c r="F23" s="4">
        <f>SUM(F19:F21)</f>
        <v>1210390</v>
      </c>
      <c r="G23" s="73"/>
      <c r="H23" s="73"/>
      <c r="J23" s="52"/>
      <c r="K23" s="52"/>
      <c r="P23" s="81"/>
      <c r="Q23" s="52"/>
      <c r="R23" s="52"/>
    </row>
    <row r="24" spans="1:11" s="43" customFormat="1" ht="18" customHeight="1" thickBot="1">
      <c r="A24" s="5" t="s">
        <v>65</v>
      </c>
      <c r="B24" s="5"/>
      <c r="C24" s="6">
        <f>SUM(C23,C16)</f>
        <v>6470811.73</v>
      </c>
      <c r="D24" s="6">
        <f>SUM(D23,D16)</f>
        <v>6259682.03</v>
      </c>
      <c r="E24" s="5"/>
      <c r="F24" s="6">
        <f>SUM(F23,F16)</f>
        <v>6470811.73</v>
      </c>
      <c r="G24" s="73"/>
      <c r="H24" s="73"/>
      <c r="J24" s="52"/>
      <c r="K24" s="52"/>
    </row>
    <row r="25" spans="1:11" s="43" customFormat="1" ht="18" customHeight="1">
      <c r="A25" s="3"/>
      <c r="B25" s="3"/>
      <c r="C25" s="3"/>
      <c r="D25" s="3"/>
      <c r="E25" s="3"/>
      <c r="F25" s="3"/>
      <c r="G25" s="3"/>
      <c r="H25" s="3"/>
      <c r="J25" s="52"/>
      <c r="K25" s="52"/>
    </row>
    <row r="26" spans="10:11" s="43" customFormat="1" ht="18" customHeight="1">
      <c r="J26" s="52"/>
      <c r="K26" s="52"/>
    </row>
    <row r="27" spans="1:11" s="43" customFormat="1" ht="18" customHeight="1">
      <c r="A27" s="3" t="s">
        <v>66</v>
      </c>
      <c r="B27" s="3"/>
      <c r="C27" s="3"/>
      <c r="D27" s="3"/>
      <c r="E27" s="3"/>
      <c r="F27" s="3"/>
      <c r="G27" s="70"/>
      <c r="H27" s="70"/>
      <c r="J27" s="52"/>
      <c r="K27" s="52"/>
    </row>
    <row r="28" spans="10:11" s="43" customFormat="1" ht="18" customHeight="1">
      <c r="J28" s="52"/>
      <c r="K28" s="52"/>
    </row>
    <row r="29" spans="1:11" s="43" customFormat="1" ht="18" customHeight="1">
      <c r="A29" s="3" t="s">
        <v>67</v>
      </c>
      <c r="J29" s="52"/>
      <c r="K29" s="52"/>
    </row>
    <row r="30" spans="1:11" s="43" customFormat="1" ht="18" customHeight="1">
      <c r="A30" s="3" t="s">
        <v>68</v>
      </c>
      <c r="H30" s="82"/>
      <c r="J30" s="83"/>
      <c r="K30" s="52"/>
    </row>
    <row r="31" spans="1:11" s="43" customFormat="1" ht="18" customHeight="1">
      <c r="A31" s="43" t="s">
        <v>120</v>
      </c>
      <c r="B31" s="39" t="s">
        <v>72</v>
      </c>
      <c r="C31" s="52">
        <v>418042.39</v>
      </c>
      <c r="D31" s="84">
        <f>430953.1+49645.28+2920</f>
        <v>483518.38</v>
      </c>
      <c r="E31" s="85"/>
      <c r="F31" s="84">
        <v>418042.39</v>
      </c>
      <c r="G31" s="52"/>
      <c r="H31" s="84"/>
      <c r="J31" s="52"/>
      <c r="K31" s="52"/>
    </row>
    <row r="32" spans="1:11" s="43" customFormat="1" ht="18" customHeight="1">
      <c r="A32" s="43" t="s">
        <v>69</v>
      </c>
      <c r="B32" s="39" t="s">
        <v>74</v>
      </c>
      <c r="C32" s="52">
        <v>1363282.04</v>
      </c>
      <c r="D32" s="84">
        <v>1353335.07</v>
      </c>
      <c r="E32" s="85"/>
      <c r="F32" s="84">
        <v>1363282.04</v>
      </c>
      <c r="G32" s="52"/>
      <c r="H32" s="52"/>
      <c r="J32" s="52"/>
      <c r="K32" s="52"/>
    </row>
    <row r="33" spans="1:11" s="43" customFormat="1" ht="18" customHeight="1">
      <c r="A33" s="71"/>
      <c r="B33" s="71"/>
      <c r="C33" s="72"/>
      <c r="D33" s="72"/>
      <c r="E33" s="71"/>
      <c r="F33" s="72"/>
      <c r="G33" s="52"/>
      <c r="H33" s="52"/>
      <c r="J33" s="52"/>
      <c r="K33" s="52"/>
    </row>
    <row r="34" spans="3:11" s="43" customFormat="1" ht="18" customHeight="1">
      <c r="C34" s="73">
        <f>SUM(C31:C33)</f>
        <v>1781324.4300000002</v>
      </c>
      <c r="D34" s="73">
        <f>SUM(D31:D33)</f>
        <v>1836853.4500000002</v>
      </c>
      <c r="F34" s="73">
        <f>SUM(F31:F33)</f>
        <v>1781324.4300000002</v>
      </c>
      <c r="G34" s="73"/>
      <c r="H34" s="73"/>
      <c r="J34" s="52"/>
      <c r="K34" s="52"/>
    </row>
    <row r="35" spans="7:11" s="43" customFormat="1" ht="18" customHeight="1">
      <c r="G35" s="52"/>
      <c r="H35" s="52"/>
      <c r="J35" s="52"/>
      <c r="K35" s="52"/>
    </row>
    <row r="36" spans="1:11" s="43" customFormat="1" ht="18" customHeight="1">
      <c r="A36" s="3"/>
      <c r="G36" s="52"/>
      <c r="H36" s="52"/>
      <c r="J36" s="52"/>
      <c r="K36" s="52"/>
    </row>
    <row r="37" spans="1:11" s="43" customFormat="1" ht="18" customHeight="1">
      <c r="A37" s="7" t="s">
        <v>70</v>
      </c>
      <c r="B37" s="41" t="s">
        <v>76</v>
      </c>
      <c r="C37" s="8">
        <v>173662.82</v>
      </c>
      <c r="D37" s="8">
        <f>35834.16+37737.9+88005.62+47419.3</f>
        <v>208996.97999999998</v>
      </c>
      <c r="E37" s="71"/>
      <c r="F37" s="8">
        <v>173662.82</v>
      </c>
      <c r="G37" s="73"/>
      <c r="H37" s="73"/>
      <c r="J37" s="52"/>
      <c r="K37" s="52"/>
    </row>
    <row r="38" spans="3:11" s="43" customFormat="1" ht="18" customHeight="1">
      <c r="C38" s="52" t="s">
        <v>226</v>
      </c>
      <c r="D38" s="52" t="s">
        <v>226</v>
      </c>
      <c r="F38" s="52" t="s">
        <v>226</v>
      </c>
      <c r="G38" s="52"/>
      <c r="H38" s="52"/>
      <c r="J38" s="52"/>
      <c r="K38" s="52"/>
    </row>
    <row r="39" spans="1:11" s="43" customFormat="1" ht="18" customHeight="1">
      <c r="A39" s="3" t="s">
        <v>73</v>
      </c>
      <c r="C39" s="52"/>
      <c r="D39" s="52"/>
      <c r="F39" s="52"/>
      <c r="G39" s="52"/>
      <c r="H39" s="52"/>
      <c r="J39" s="52"/>
      <c r="K39" s="52"/>
    </row>
    <row r="40" spans="1:11" s="43" customFormat="1" ht="18" customHeight="1">
      <c r="A40" s="43" t="s">
        <v>75</v>
      </c>
      <c r="B40" s="39" t="s">
        <v>82</v>
      </c>
      <c r="C40" s="52">
        <f>4478302.2+36000+490.98</f>
        <v>4514793.180000001</v>
      </c>
      <c r="D40" s="52">
        <f>F40-D94</f>
        <v>4213831.600000003</v>
      </c>
      <c r="F40" s="52">
        <f>4478302.2+36000+490.98</f>
        <v>4514793.180000001</v>
      </c>
      <c r="G40" s="52"/>
      <c r="H40" s="52"/>
      <c r="J40" s="52"/>
      <c r="K40" s="52"/>
    </row>
    <row r="41" spans="1:10" s="43" customFormat="1" ht="18" customHeight="1">
      <c r="A41" s="43" t="s">
        <v>156</v>
      </c>
      <c r="C41" s="52">
        <v>1031.3</v>
      </c>
      <c r="D41" s="52">
        <v>0</v>
      </c>
      <c r="F41" s="52">
        <v>1031.3</v>
      </c>
      <c r="G41" s="52"/>
      <c r="H41" s="52"/>
      <c r="J41" s="52"/>
    </row>
    <row r="42" spans="10:18" ht="14.25">
      <c r="J42" s="52"/>
      <c r="P42" s="43"/>
      <c r="Q42" s="43"/>
      <c r="R42" s="43"/>
    </row>
    <row r="43" spans="1:18" s="43" customFormat="1" ht="18" customHeight="1">
      <c r="A43" s="71"/>
      <c r="B43" s="71"/>
      <c r="C43" s="72"/>
      <c r="D43" s="72"/>
      <c r="E43" s="71"/>
      <c r="F43" s="72"/>
      <c r="G43" s="52"/>
      <c r="H43" s="52"/>
      <c r="J43" s="52"/>
      <c r="P43" s="31"/>
      <c r="Q43" s="31"/>
      <c r="R43" s="31"/>
    </row>
    <row r="44" spans="1:10" s="43" customFormat="1" ht="18" customHeight="1">
      <c r="A44" s="74"/>
      <c r="B44" s="74"/>
      <c r="C44" s="4">
        <f>SUM(C40:C43)</f>
        <v>4515824.48</v>
      </c>
      <c r="D44" s="4">
        <f>SUM(D40:D43)</f>
        <v>4213831.600000003</v>
      </c>
      <c r="E44" s="74"/>
      <c r="F44" s="4">
        <f>SUM(F40:F43)</f>
        <v>4515824.48</v>
      </c>
      <c r="G44" s="73"/>
      <c r="H44" s="73"/>
      <c r="J44" s="52"/>
    </row>
    <row r="45" spans="1:10" s="43" customFormat="1" ht="18" customHeight="1" thickBot="1">
      <c r="A45" s="5" t="s">
        <v>77</v>
      </c>
      <c r="B45" s="5"/>
      <c r="C45" s="6">
        <f>SUM(C34,C37,C44)</f>
        <v>6470811.73</v>
      </c>
      <c r="D45" s="6">
        <f>SUM(D34,D37,D44)</f>
        <v>6259682.030000003</v>
      </c>
      <c r="E45" s="6">
        <f>SUM(E34,E37,E44)</f>
        <v>0</v>
      </c>
      <c r="F45" s="6">
        <f>SUM(F34,F37,F44)</f>
        <v>6470811.73</v>
      </c>
      <c r="G45" s="73"/>
      <c r="H45" s="73"/>
      <c r="J45" s="52"/>
    </row>
    <row r="46" spans="1:18" ht="14.25">
      <c r="A46" s="86"/>
      <c r="B46" s="86"/>
      <c r="C46" s="86"/>
      <c r="D46" s="87"/>
      <c r="F46" s="31" t="s">
        <v>226</v>
      </c>
      <c r="P46" s="43"/>
      <c r="Q46" s="43"/>
      <c r="R46" s="43"/>
    </row>
    <row r="47" ht="14.25"/>
    <row r="48" ht="14.25"/>
    <row r="49" spans="1:8" ht="15">
      <c r="A49" s="9" t="s">
        <v>78</v>
      </c>
      <c r="B49" s="9"/>
      <c r="C49" s="9"/>
      <c r="D49" s="9"/>
      <c r="E49" s="9"/>
      <c r="F49" s="9"/>
      <c r="G49" s="9"/>
      <c r="H49" s="9"/>
    </row>
    <row r="50" spans="1:8" ht="15">
      <c r="A50" s="9"/>
      <c r="B50" s="9"/>
      <c r="C50" s="9"/>
      <c r="D50" s="9"/>
      <c r="E50" s="9"/>
      <c r="F50" s="9"/>
      <c r="G50" s="9"/>
      <c r="H50" s="9"/>
    </row>
    <row r="51" spans="1:8" ht="15">
      <c r="A51" s="9"/>
      <c r="B51" s="9"/>
      <c r="C51" s="9"/>
      <c r="D51" s="9"/>
      <c r="E51" s="9"/>
      <c r="F51" s="9"/>
      <c r="G51" s="9"/>
      <c r="H51" s="9"/>
    </row>
    <row r="52" spans="1:8" ht="15">
      <c r="A52" s="9" t="s">
        <v>79</v>
      </c>
      <c r="B52" s="29" t="s">
        <v>49</v>
      </c>
      <c r="C52" s="10"/>
      <c r="D52" s="10" t="s">
        <v>245</v>
      </c>
      <c r="E52" s="9"/>
      <c r="F52" s="10" t="s">
        <v>225</v>
      </c>
      <c r="G52" s="10"/>
      <c r="H52" s="10"/>
    </row>
    <row r="53" spans="1:8" ht="14.25">
      <c r="A53" s="31" t="s">
        <v>41</v>
      </c>
      <c r="C53" s="33">
        <f>2636214.27+22900</f>
        <v>2659114.27</v>
      </c>
      <c r="D53" s="33">
        <v>2861970.4</v>
      </c>
      <c r="F53" s="33">
        <f>2636214.27+22900</f>
        <v>2659114.27</v>
      </c>
      <c r="G53" s="33"/>
      <c r="H53" s="33"/>
    </row>
    <row r="54" spans="1:18" s="43" customFormat="1" ht="14.25" customHeight="1">
      <c r="A54" s="43" t="s">
        <v>80</v>
      </c>
      <c r="B54" s="39"/>
      <c r="C54" s="52">
        <v>-140371.05</v>
      </c>
      <c r="D54" s="52">
        <v>-109507.4</v>
      </c>
      <c r="F54" s="52">
        <v>-140371.05</v>
      </c>
      <c r="G54" s="52"/>
      <c r="H54" s="52"/>
      <c r="P54" s="31"/>
      <c r="Q54" s="31"/>
      <c r="R54" s="31"/>
    </row>
    <row r="55" spans="1:8" s="43" customFormat="1" ht="14.25" customHeight="1">
      <c r="A55" s="71" t="s">
        <v>42</v>
      </c>
      <c r="B55" s="41"/>
      <c r="C55" s="72">
        <v>937697.89</v>
      </c>
      <c r="D55" s="72">
        <v>1030853.11</v>
      </c>
      <c r="E55" s="71"/>
      <c r="F55" s="72">
        <v>937697.89</v>
      </c>
      <c r="G55" s="52"/>
      <c r="H55" s="52"/>
    </row>
    <row r="56" spans="1:18" ht="14.25" customHeight="1" thickBot="1">
      <c r="A56" s="12" t="s">
        <v>81</v>
      </c>
      <c r="B56" s="40" t="s">
        <v>86</v>
      </c>
      <c r="C56" s="13">
        <f>C53+C54-C55</f>
        <v>1581045.33</v>
      </c>
      <c r="D56" s="13">
        <f>D53+D54-D55</f>
        <v>1721609.8900000001</v>
      </c>
      <c r="E56" s="75"/>
      <c r="F56" s="13">
        <f>F53+F54-F55</f>
        <v>1581045.33</v>
      </c>
      <c r="G56" s="11"/>
      <c r="H56" s="11"/>
      <c r="P56" s="43"/>
      <c r="Q56" s="43"/>
      <c r="R56" s="43"/>
    </row>
    <row r="57" spans="2:8" ht="14.25">
      <c r="B57" s="32"/>
      <c r="G57" s="33"/>
      <c r="H57" s="33"/>
    </row>
    <row r="58" spans="2:8" ht="14.25">
      <c r="B58" s="32"/>
      <c r="G58" s="33"/>
      <c r="H58" s="33"/>
    </row>
    <row r="59" spans="1:8" ht="14.25">
      <c r="A59" s="31" t="s">
        <v>83</v>
      </c>
      <c r="B59" s="32"/>
      <c r="C59" s="33">
        <v>934855</v>
      </c>
      <c r="D59" s="33">
        <v>961135.45</v>
      </c>
      <c r="F59" s="33">
        <v>934855</v>
      </c>
      <c r="G59" s="33"/>
      <c r="H59" s="33"/>
    </row>
    <row r="60" spans="1:8" ht="14.25">
      <c r="A60" s="31" t="s">
        <v>84</v>
      </c>
      <c r="B60" s="32" t="s">
        <v>91</v>
      </c>
      <c r="C60" s="33">
        <v>4368086.6</v>
      </c>
      <c r="D60" s="33">
        <v>4425165.1</v>
      </c>
      <c r="F60" s="33">
        <v>4368086.6</v>
      </c>
      <c r="G60" s="33"/>
      <c r="H60" s="33"/>
    </row>
    <row r="61" spans="1:8" ht="14.25">
      <c r="A61" s="51" t="s">
        <v>85</v>
      </c>
      <c r="B61" s="30" t="s">
        <v>95</v>
      </c>
      <c r="C61" s="76">
        <f>4191997.61+36000</f>
        <v>4227997.609999999</v>
      </c>
      <c r="D61" s="33">
        <v>5111317.46</v>
      </c>
      <c r="E61" s="51"/>
      <c r="F61" s="76">
        <f>4191997.61+36000</f>
        <v>4227997.609999999</v>
      </c>
      <c r="G61" s="33"/>
      <c r="H61" s="38"/>
    </row>
    <row r="62" spans="1:8" ht="15">
      <c r="A62" s="14" t="s">
        <v>87</v>
      </c>
      <c r="B62" s="16"/>
      <c r="C62" s="15">
        <f>SUM(C59:C61)</f>
        <v>9530939.209999999</v>
      </c>
      <c r="D62" s="15">
        <f>SUM(D59:D61)</f>
        <v>10497618.01</v>
      </c>
      <c r="E62" s="14"/>
      <c r="F62" s="15">
        <f>SUM(F59:F61)</f>
        <v>9530939.209999999</v>
      </c>
      <c r="G62" s="11"/>
      <c r="H62" s="11"/>
    </row>
    <row r="63" spans="1:8" ht="15.75" thickBot="1">
      <c r="A63" s="12" t="s">
        <v>88</v>
      </c>
      <c r="B63" s="17"/>
      <c r="C63" s="13">
        <f>SUM(C62,C56)</f>
        <v>11111984.54</v>
      </c>
      <c r="D63" s="13">
        <f>SUM(D62,D56)</f>
        <v>12219227.9</v>
      </c>
      <c r="E63" s="12"/>
      <c r="F63" s="13">
        <f>SUM(F62,F56)</f>
        <v>11111984.54</v>
      </c>
      <c r="G63" s="11"/>
      <c r="H63" s="11"/>
    </row>
    <row r="64" spans="2:8" ht="14.25">
      <c r="B64" s="32"/>
      <c r="G64" s="33"/>
      <c r="H64" s="33"/>
    </row>
    <row r="65" spans="2:8" ht="14.25">
      <c r="B65" s="32"/>
      <c r="G65" s="33"/>
      <c r="H65" s="33"/>
    </row>
    <row r="66" spans="1:8" ht="15">
      <c r="A66" s="9" t="s">
        <v>89</v>
      </c>
      <c r="B66" s="32"/>
      <c r="G66" s="33"/>
      <c r="H66" s="33"/>
    </row>
    <row r="67" spans="1:8" ht="14.25">
      <c r="A67" s="31" t="s">
        <v>90</v>
      </c>
      <c r="B67" s="32" t="s">
        <v>24</v>
      </c>
      <c r="C67" s="33">
        <v>7826794.06</v>
      </c>
      <c r="D67" s="33">
        <v>8135116.95</v>
      </c>
      <c r="F67" s="33">
        <v>7826794.06</v>
      </c>
      <c r="G67" s="33"/>
      <c r="H67" s="33"/>
    </row>
    <row r="68" spans="1:8" ht="14.25">
      <c r="A68" s="31" t="s">
        <v>37</v>
      </c>
      <c r="B68" s="32"/>
      <c r="C68" s="33">
        <v>397861.58</v>
      </c>
      <c r="D68" s="33">
        <v>408769.21</v>
      </c>
      <c r="F68" s="33">
        <v>397861.58</v>
      </c>
      <c r="G68" s="33"/>
      <c r="H68" s="33"/>
    </row>
    <row r="69" spans="1:8" ht="14.25">
      <c r="A69" s="31" t="s">
        <v>92</v>
      </c>
      <c r="B69" s="32"/>
      <c r="C69" s="33">
        <v>20975.32</v>
      </c>
      <c r="D69" s="33">
        <v>13108.310000000001</v>
      </c>
      <c r="F69" s="33">
        <v>20975.32</v>
      </c>
      <c r="G69" s="33"/>
      <c r="H69" s="33"/>
    </row>
    <row r="70" spans="1:8" ht="14.25">
      <c r="A70" s="31" t="s">
        <v>93</v>
      </c>
      <c r="B70" s="60" t="s">
        <v>25</v>
      </c>
      <c r="C70" s="38">
        <v>28286.05</v>
      </c>
      <c r="D70" s="33">
        <v>37110.85</v>
      </c>
      <c r="E70" s="26"/>
      <c r="F70" s="38">
        <v>28286.05</v>
      </c>
      <c r="G70" s="38"/>
      <c r="H70" s="38"/>
    </row>
    <row r="71" spans="1:7" ht="14.25">
      <c r="A71" s="31" t="s">
        <v>94</v>
      </c>
      <c r="B71" s="32"/>
      <c r="C71" s="33">
        <v>820310.23</v>
      </c>
      <c r="D71" s="33">
        <v>867949.7</v>
      </c>
      <c r="F71" s="33">
        <v>820310.23</v>
      </c>
      <c r="G71" s="33"/>
    </row>
    <row r="72" spans="1:8" ht="14.25">
      <c r="A72" s="31" t="s">
        <v>43</v>
      </c>
      <c r="B72" s="32" t="s">
        <v>26</v>
      </c>
      <c r="C72" s="33">
        <v>132875.33</v>
      </c>
      <c r="D72" s="33">
        <v>96649.59</v>
      </c>
      <c r="F72" s="33">
        <v>132875.33</v>
      </c>
      <c r="G72" s="33"/>
      <c r="H72" s="33"/>
    </row>
    <row r="73" spans="1:8" ht="14.25">
      <c r="A73" s="31" t="s">
        <v>19</v>
      </c>
      <c r="B73" s="32"/>
      <c r="C73" s="33">
        <v>179915.03</v>
      </c>
      <c r="D73" s="33">
        <v>209153.7</v>
      </c>
      <c r="F73" s="33">
        <v>179915.03</v>
      </c>
      <c r="G73" s="33"/>
      <c r="H73" s="33"/>
    </row>
    <row r="74" spans="1:8" ht="14.25">
      <c r="A74" s="31" t="s">
        <v>20</v>
      </c>
      <c r="B74" s="58" t="s">
        <v>226</v>
      </c>
      <c r="C74" s="63">
        <v>17318.9</v>
      </c>
      <c r="D74" s="33">
        <v>7703.35</v>
      </c>
      <c r="E74" s="59"/>
      <c r="F74" s="63">
        <v>17318.9</v>
      </c>
      <c r="G74" s="88"/>
      <c r="H74" s="88"/>
    </row>
    <row r="75" spans="1:8" ht="14.25">
      <c r="A75" s="31" t="s">
        <v>21</v>
      </c>
      <c r="B75" s="32"/>
      <c r="C75" s="33">
        <v>1882954.97</v>
      </c>
      <c r="D75" s="33">
        <v>2366857.59</v>
      </c>
      <c r="F75" s="33">
        <v>1882954.97</v>
      </c>
      <c r="G75" s="33"/>
      <c r="H75" s="33"/>
    </row>
    <row r="76" spans="1:8" ht="14.25">
      <c r="A76" s="31" t="s">
        <v>22</v>
      </c>
      <c r="B76" s="32" t="s">
        <v>27</v>
      </c>
      <c r="C76" s="33">
        <v>99355.95</v>
      </c>
      <c r="D76" s="33">
        <v>131183.83</v>
      </c>
      <c r="F76" s="33">
        <v>99355.95</v>
      </c>
      <c r="G76" s="33"/>
      <c r="H76" s="33"/>
    </row>
    <row r="77" spans="1:8" ht="14.25">
      <c r="A77" s="31" t="s">
        <v>40</v>
      </c>
      <c r="B77" s="32" t="s">
        <v>28</v>
      </c>
      <c r="C77" s="33">
        <v>246150.18</v>
      </c>
      <c r="D77" s="33">
        <v>156094.03</v>
      </c>
      <c r="F77" s="33">
        <v>246150.18</v>
      </c>
      <c r="G77" s="33"/>
      <c r="H77" s="33"/>
    </row>
    <row r="78" spans="1:8" ht="14.25">
      <c r="A78" s="31" t="s">
        <v>23</v>
      </c>
      <c r="B78" s="32" t="s">
        <v>30</v>
      </c>
      <c r="C78" s="33">
        <v>905</v>
      </c>
      <c r="D78" s="33">
        <v>802</v>
      </c>
      <c r="F78" s="33">
        <v>905</v>
      </c>
      <c r="G78" s="33"/>
      <c r="H78" s="33"/>
    </row>
    <row r="79" spans="1:8" ht="15">
      <c r="A79" s="14" t="s">
        <v>96</v>
      </c>
      <c r="B79" s="16"/>
      <c r="C79" s="15">
        <f>SUM(C67:C78)</f>
        <v>11653702.6</v>
      </c>
      <c r="D79" s="15">
        <f>SUM(D67:D78)</f>
        <v>12430499.109999998</v>
      </c>
      <c r="E79" s="14"/>
      <c r="F79" s="15">
        <f>SUM(F67:F78)</f>
        <v>11653702.6</v>
      </c>
      <c r="G79" s="11"/>
      <c r="H79" s="11"/>
    </row>
    <row r="80" spans="1:8" ht="15.75" thickBot="1">
      <c r="A80" s="12" t="s">
        <v>97</v>
      </c>
      <c r="B80" s="17"/>
      <c r="C80" s="13">
        <f>SUM(C63-C79)</f>
        <v>-541718.0600000005</v>
      </c>
      <c r="D80" s="13">
        <f>SUM(D63-D79)</f>
        <v>-211271.20999999717</v>
      </c>
      <c r="E80" s="12"/>
      <c r="F80" s="13">
        <f>SUM(F63-F79)</f>
        <v>-541718.0600000005</v>
      </c>
      <c r="G80" s="11"/>
      <c r="H80" s="11"/>
    </row>
    <row r="81" spans="2:8" ht="14.25">
      <c r="B81" s="32"/>
      <c r="G81" s="33"/>
      <c r="H81" s="33"/>
    </row>
    <row r="82" spans="2:8" ht="14.25">
      <c r="B82" s="32"/>
      <c r="G82" s="33"/>
      <c r="H82" s="33"/>
    </row>
    <row r="83" spans="1:8" ht="14.25">
      <c r="A83" s="31" t="s">
        <v>98</v>
      </c>
      <c r="B83" s="32" t="s">
        <v>31</v>
      </c>
      <c r="C83" s="33">
        <v>-7039.17</v>
      </c>
      <c r="D83" s="33">
        <v>5834.51</v>
      </c>
      <c r="F83" s="33">
        <v>-7039.17</v>
      </c>
      <c r="G83" s="33"/>
      <c r="H83" s="33"/>
    </row>
    <row r="84" spans="1:8" ht="14.25">
      <c r="A84" s="31" t="s">
        <v>29</v>
      </c>
      <c r="B84" s="32" t="s">
        <v>111</v>
      </c>
      <c r="C84" s="33">
        <v>-68705.9</v>
      </c>
      <c r="D84" s="33">
        <v>-61222.02</v>
      </c>
      <c r="F84" s="33">
        <v>-68705.9</v>
      </c>
      <c r="G84" s="33"/>
      <c r="H84" s="33"/>
    </row>
    <row r="85" spans="1:9" ht="15.75" thickBot="1">
      <c r="A85" s="12" t="s">
        <v>99</v>
      </c>
      <c r="B85" s="17"/>
      <c r="C85" s="13">
        <f>SUM(C80,C83,C84)</f>
        <v>-617463.1300000006</v>
      </c>
      <c r="D85" s="13">
        <f>SUM(D80,D83,D84)</f>
        <v>-266658.7199999972</v>
      </c>
      <c r="E85" s="12"/>
      <c r="F85" s="13">
        <f>SUM(F80,F83,F84)</f>
        <v>-617463.1300000006</v>
      </c>
      <c r="G85" s="11" t="s">
        <v>226</v>
      </c>
      <c r="H85" s="11"/>
      <c r="I85" s="33"/>
    </row>
    <row r="86" spans="1:8" ht="15">
      <c r="A86" s="9"/>
      <c r="B86" s="32"/>
      <c r="G86" s="33"/>
      <c r="H86" s="33"/>
    </row>
    <row r="87" spans="1:8" ht="15">
      <c r="A87" s="9" t="s">
        <v>100</v>
      </c>
      <c r="B87" s="32" t="s">
        <v>146</v>
      </c>
      <c r="G87" s="33"/>
      <c r="H87" s="33"/>
    </row>
    <row r="88" spans="1:8" ht="14.25">
      <c r="A88" s="31" t="s">
        <v>161</v>
      </c>
      <c r="B88" s="32"/>
      <c r="C88" s="33">
        <v>0</v>
      </c>
      <c r="D88" s="33">
        <v>-35334.16</v>
      </c>
      <c r="F88" s="33">
        <v>0</v>
      </c>
      <c r="G88" s="33"/>
      <c r="H88" s="33"/>
    </row>
    <row r="89" spans="1:8" ht="15.75" thickBot="1">
      <c r="A89" s="34" t="s">
        <v>140</v>
      </c>
      <c r="B89" s="17"/>
      <c r="C89" s="13">
        <f>SUM(C85,C88:C88)</f>
        <v>-617463.1300000006</v>
      </c>
      <c r="D89" s="13">
        <f>SUM(D85,D88:D88)</f>
        <v>-301992.8799999972</v>
      </c>
      <c r="E89" s="12"/>
      <c r="F89" s="13">
        <f>SUM(F85,F88:F88)</f>
        <v>-617463.1300000006</v>
      </c>
      <c r="G89" s="11"/>
      <c r="H89" s="11"/>
    </row>
    <row r="90" spans="1:8" ht="14.25">
      <c r="A90" s="26"/>
      <c r="B90" s="32"/>
      <c r="C90" s="33"/>
      <c r="D90" s="33"/>
      <c r="F90" s="33"/>
      <c r="G90" s="33"/>
      <c r="H90" s="33"/>
    </row>
    <row r="91" spans="1:8" ht="15">
      <c r="A91" s="35" t="s">
        <v>38</v>
      </c>
      <c r="B91" s="32"/>
      <c r="C91" s="33"/>
      <c r="D91" s="33"/>
      <c r="F91" s="33"/>
      <c r="G91" s="33"/>
      <c r="H91" s="33"/>
    </row>
    <row r="92" spans="1:8" ht="14.25">
      <c r="A92" s="26" t="s">
        <v>199</v>
      </c>
      <c r="B92" s="32"/>
      <c r="C92" s="33">
        <v>25000</v>
      </c>
      <c r="D92" s="33">
        <v>1031.3</v>
      </c>
      <c r="F92" s="33">
        <v>25000</v>
      </c>
      <c r="G92" s="33"/>
      <c r="H92" s="33"/>
    </row>
    <row r="93" spans="1:8" ht="14.25">
      <c r="A93" s="26"/>
      <c r="B93" s="32"/>
      <c r="C93" s="33"/>
      <c r="D93" s="33"/>
      <c r="F93" s="33"/>
      <c r="G93" s="33"/>
      <c r="H93" s="33"/>
    </row>
    <row r="94" spans="1:8" ht="14.25">
      <c r="A94" s="36" t="s">
        <v>75</v>
      </c>
      <c r="B94" s="30"/>
      <c r="C94" s="77">
        <f>592463.13</f>
        <v>592463.13</v>
      </c>
      <c r="D94" s="77">
        <f>-(D89+D92)</f>
        <v>300961.5799999972</v>
      </c>
      <c r="E94" s="51"/>
      <c r="F94" s="77">
        <f>592463.13</f>
        <v>592463.13</v>
      </c>
      <c r="G94" s="33"/>
      <c r="H94" s="33"/>
    </row>
    <row r="95" spans="1:8" ht="15.75" thickBot="1">
      <c r="A95" s="34"/>
      <c r="B95" s="17"/>
      <c r="C95" s="13">
        <f>SUM(C89,C92:C94)</f>
        <v>0</v>
      </c>
      <c r="D95" s="133">
        <f>SUM(D89,D92:D94)</f>
        <v>0</v>
      </c>
      <c r="E95" s="133">
        <f>SUM(E89,E92:E94)</f>
        <v>0</v>
      </c>
      <c r="F95" s="133">
        <f>SUM(F89,F92:F94)</f>
        <v>0</v>
      </c>
      <c r="G95" s="11" t="s">
        <v>226</v>
      </c>
      <c r="H95" s="11"/>
    </row>
    <row r="96" spans="2:8" ht="14.25">
      <c r="B96" s="32"/>
      <c r="G96" s="33"/>
      <c r="H96" s="33"/>
    </row>
    <row r="97" spans="2:8" ht="14.25">
      <c r="B97" s="32"/>
      <c r="G97" s="33"/>
      <c r="H97" s="33"/>
    </row>
    <row r="98" spans="2:8" ht="14.25">
      <c r="B98" s="32"/>
      <c r="G98" s="33"/>
      <c r="H98" s="33"/>
    </row>
    <row r="99" spans="2:8" ht="14.25">
      <c r="B99" s="32"/>
      <c r="G99" s="33"/>
      <c r="H99" s="33"/>
    </row>
    <row r="100" spans="1:2" ht="15">
      <c r="A100" s="9" t="s">
        <v>101</v>
      </c>
      <c r="B100" s="32"/>
    </row>
    <row r="101" ht="14.25">
      <c r="B101" s="32"/>
    </row>
    <row r="102" spans="1:2" ht="15">
      <c r="A102" s="9" t="s">
        <v>102</v>
      </c>
      <c r="B102" s="32"/>
    </row>
    <row r="103" spans="2:8" ht="15">
      <c r="B103" s="32" t="s">
        <v>226</v>
      </c>
      <c r="C103" s="70" t="s">
        <v>226</v>
      </c>
      <c r="D103" s="70" t="s">
        <v>245</v>
      </c>
      <c r="F103" s="70" t="s">
        <v>225</v>
      </c>
      <c r="G103" s="10"/>
      <c r="H103" s="10"/>
    </row>
    <row r="104" spans="1:8" ht="14.25">
      <c r="A104" s="31" t="s">
        <v>180</v>
      </c>
      <c r="B104" s="32"/>
      <c r="C104" s="33">
        <f>C89</f>
        <v>-617463.1300000006</v>
      </c>
      <c r="D104" s="33">
        <f>D89</f>
        <v>-301992.8799999972</v>
      </c>
      <c r="F104" s="33">
        <f>F85</f>
        <v>-617463.1300000006</v>
      </c>
      <c r="G104" s="33"/>
      <c r="H104" s="33"/>
    </row>
    <row r="105" spans="1:10" ht="14.25">
      <c r="A105" s="31" t="s">
        <v>160</v>
      </c>
      <c r="B105" s="32"/>
      <c r="C105" s="33">
        <v>0</v>
      </c>
      <c r="D105" s="33">
        <f>-D88</f>
        <v>35334.16</v>
      </c>
      <c r="F105" s="33">
        <f>F88</f>
        <v>0</v>
      </c>
      <c r="G105" s="33"/>
      <c r="H105" s="33"/>
      <c r="J105" s="33"/>
    </row>
    <row r="106" spans="1:10" ht="14.25">
      <c r="A106" s="31" t="s">
        <v>32</v>
      </c>
      <c r="B106" s="32"/>
      <c r="C106" s="33" t="s">
        <v>226</v>
      </c>
      <c r="D106" s="33">
        <f>D77</f>
        <v>156094.03</v>
      </c>
      <c r="F106" s="33">
        <f>F77</f>
        <v>246150.18</v>
      </c>
      <c r="G106" s="33"/>
      <c r="H106" s="33"/>
      <c r="J106" s="33"/>
    </row>
    <row r="107" spans="1:8" ht="14.25">
      <c r="A107" s="31" t="s">
        <v>33</v>
      </c>
      <c r="B107" s="32"/>
      <c r="C107" s="33">
        <f>C285</f>
        <v>0</v>
      </c>
      <c r="D107" s="33">
        <f>F285</f>
        <v>151597.19</v>
      </c>
      <c r="F107" s="33">
        <v>145273</v>
      </c>
      <c r="G107" s="33"/>
      <c r="H107" s="33"/>
    </row>
    <row r="108" spans="1:8" ht="14.25">
      <c r="A108" s="31" t="s">
        <v>246</v>
      </c>
      <c r="B108" s="32"/>
      <c r="D108" s="33">
        <f>-7704.53</f>
        <v>-7704.53</v>
      </c>
      <c r="F108" s="38">
        <v>0</v>
      </c>
      <c r="G108" s="33"/>
      <c r="H108" s="33"/>
    </row>
    <row r="109" spans="2:8" ht="14.25">
      <c r="B109" s="32"/>
      <c r="G109" s="33"/>
      <c r="H109" s="33"/>
    </row>
    <row r="110" spans="1:8" ht="14.25">
      <c r="A110" s="26" t="s">
        <v>247</v>
      </c>
      <c r="B110" s="32"/>
      <c r="C110" s="33">
        <f>-(C12-E12)</f>
        <v>-936413.29</v>
      </c>
      <c r="D110" s="38">
        <f>-(D12-F12)</f>
        <v>88805.45999999996</v>
      </c>
      <c r="E110" s="26"/>
      <c r="F110" s="53">
        <v>-256245.33000000007</v>
      </c>
      <c r="G110" s="33"/>
      <c r="H110" s="33"/>
    </row>
    <row r="111" spans="1:8" ht="14.25">
      <c r="A111" s="26" t="s">
        <v>242</v>
      </c>
      <c r="B111" s="32"/>
      <c r="C111" s="33">
        <f>-C13+E13</f>
        <v>-6500</v>
      </c>
      <c r="D111" s="38">
        <f>-(D13-F13)</f>
        <v>1600</v>
      </c>
      <c r="E111" s="26"/>
      <c r="F111" s="53">
        <v>-6025</v>
      </c>
      <c r="G111" s="33"/>
      <c r="H111" s="33"/>
    </row>
    <row r="112" spans="1:8" ht="14.25">
      <c r="A112" s="26" t="s">
        <v>248</v>
      </c>
      <c r="B112" s="32"/>
      <c r="C112" s="33">
        <f>-C14+E14</f>
        <v>-369683.11</v>
      </c>
      <c r="D112" s="38">
        <f>-(D14-F14)</f>
        <v>-182795.45000000007</v>
      </c>
      <c r="E112" s="26"/>
      <c r="F112" s="53">
        <v>37134.51000000001</v>
      </c>
      <c r="G112" s="33"/>
      <c r="H112" s="33"/>
    </row>
    <row r="113" spans="1:8" ht="14.25">
      <c r="A113" s="26" t="s">
        <v>249</v>
      </c>
      <c r="B113" s="32"/>
      <c r="C113" s="33">
        <f>C31-E31</f>
        <v>418042.39</v>
      </c>
      <c r="D113" s="38">
        <f>(D31-F31)</f>
        <v>65475.98999999999</v>
      </c>
      <c r="E113" s="26"/>
      <c r="F113" s="53">
        <v>30526.04999999999</v>
      </c>
      <c r="G113" s="33"/>
      <c r="H113" s="33"/>
    </row>
    <row r="114" spans="1:8" ht="14.25">
      <c r="A114" s="26" t="s">
        <v>243</v>
      </c>
      <c r="B114" s="32"/>
      <c r="C114" s="33">
        <f>C32-E32</f>
        <v>1363282.04</v>
      </c>
      <c r="D114" s="33">
        <f>(D32-F32)</f>
        <v>-9946.969999999972</v>
      </c>
      <c r="F114" s="53">
        <v>162626.02000000002</v>
      </c>
      <c r="G114" s="33"/>
      <c r="H114" s="33"/>
    </row>
    <row r="115" spans="1:8" ht="15.75" thickBot="1">
      <c r="A115" s="12" t="s">
        <v>102</v>
      </c>
      <c r="B115" s="17"/>
      <c r="C115" s="13">
        <f>SUM(C104:C107,C110:C114)</f>
        <v>-148735.10000000056</v>
      </c>
      <c r="D115" s="13">
        <f>SUM(D104:D114)</f>
        <v>-3532.9999999972642</v>
      </c>
      <c r="E115" s="13" t="s">
        <v>226</v>
      </c>
      <c r="F115" s="13">
        <f>SUM(F104:F114)</f>
        <v>-258023.70000000065</v>
      </c>
      <c r="G115" s="11"/>
      <c r="H115" s="11"/>
    </row>
    <row r="116" spans="2:8" ht="14.25">
      <c r="B116" s="32"/>
      <c r="G116" s="33"/>
      <c r="H116" s="33"/>
    </row>
    <row r="117" spans="2:8" ht="14.25">
      <c r="B117" s="32"/>
      <c r="G117" s="33"/>
      <c r="H117" s="33"/>
    </row>
    <row r="118" spans="1:8" ht="15">
      <c r="A118" s="9" t="s">
        <v>103</v>
      </c>
      <c r="B118" s="32"/>
      <c r="G118" s="33"/>
      <c r="H118" s="33"/>
    </row>
    <row r="119" spans="1:8" ht="12.75" customHeight="1">
      <c r="A119" s="9"/>
      <c r="B119" s="32"/>
      <c r="G119" s="33"/>
      <c r="H119" s="33"/>
    </row>
    <row r="120" spans="1:8" ht="14.25">
      <c r="A120" s="31" t="s">
        <v>34</v>
      </c>
      <c r="B120" s="32"/>
      <c r="C120" s="33" t="s">
        <v>226</v>
      </c>
      <c r="D120" s="38">
        <f>-(B280+D280)</f>
        <v>-89014.32999999999</v>
      </c>
      <c r="E120" s="26"/>
      <c r="F120" s="38">
        <f>-(B261+D261)</f>
        <v>-102547.18000000001</v>
      </c>
      <c r="G120" s="33"/>
      <c r="H120" s="33"/>
    </row>
    <row r="121" spans="1:8" ht="14.25">
      <c r="A121" s="31" t="s">
        <v>213</v>
      </c>
      <c r="B121" s="32"/>
      <c r="C121" s="33">
        <v>0</v>
      </c>
      <c r="D121" s="38">
        <f>-F280</f>
        <v>-968972.19</v>
      </c>
      <c r="E121" s="26"/>
      <c r="F121" s="38">
        <f>-F261</f>
        <v>0</v>
      </c>
      <c r="G121" s="33"/>
      <c r="H121" s="33"/>
    </row>
    <row r="122" spans="1:8" ht="14.25">
      <c r="A122" s="31" t="s">
        <v>250</v>
      </c>
      <c r="B122" s="32"/>
      <c r="C122" s="33"/>
      <c r="D122" s="38">
        <v>-500051.17</v>
      </c>
      <c r="E122" s="26"/>
      <c r="F122" s="38">
        <v>0</v>
      </c>
      <c r="G122" s="33"/>
      <c r="H122" s="33"/>
    </row>
    <row r="123" spans="1:8" ht="14.25">
      <c r="A123" s="26" t="s">
        <v>251</v>
      </c>
      <c r="B123" s="32"/>
      <c r="C123" s="33">
        <v>-500</v>
      </c>
      <c r="D123" s="38">
        <v>0</v>
      </c>
      <c r="E123" s="26"/>
      <c r="F123" s="38">
        <v>-500</v>
      </c>
      <c r="G123" s="33"/>
      <c r="H123" s="33"/>
    </row>
    <row r="124" spans="1:8" ht="15.75" thickBot="1">
      <c r="A124" s="12" t="s">
        <v>103</v>
      </c>
      <c r="B124" s="17"/>
      <c r="C124" s="13">
        <f>SUM(C120:C123)</f>
        <v>-500</v>
      </c>
      <c r="D124" s="13">
        <f>SUM(D120:D123)</f>
        <v>-1558037.69</v>
      </c>
      <c r="E124" s="12"/>
      <c r="F124" s="13">
        <v>-103047.18000000001</v>
      </c>
      <c r="G124" s="11"/>
      <c r="H124" s="11"/>
    </row>
    <row r="125" spans="2:8" ht="14.25">
      <c r="B125" s="32"/>
      <c r="G125" s="33"/>
      <c r="H125" s="33"/>
    </row>
    <row r="126" spans="3:8" ht="14.25">
      <c r="C126" s="89" t="s">
        <v>226</v>
      </c>
      <c r="D126" s="89" t="s">
        <v>226</v>
      </c>
      <c r="F126" s="89" t="s">
        <v>226</v>
      </c>
      <c r="G126" s="90"/>
      <c r="H126" s="90"/>
    </row>
    <row r="127" spans="1:8" ht="15">
      <c r="A127" s="9" t="s">
        <v>227</v>
      </c>
      <c r="B127" s="32"/>
      <c r="C127" s="89"/>
      <c r="D127" s="89"/>
      <c r="F127" s="89"/>
      <c r="G127" s="91"/>
      <c r="H127" s="33"/>
    </row>
    <row r="128" spans="1:8" ht="15">
      <c r="A128" s="9"/>
      <c r="B128" s="32"/>
      <c r="G128" s="33"/>
      <c r="H128" s="33"/>
    </row>
    <row r="129" spans="1:8" ht="14.25">
      <c r="A129" s="31" t="s">
        <v>104</v>
      </c>
      <c r="B129" s="32"/>
      <c r="C129" s="33">
        <f>E130</f>
        <v>0</v>
      </c>
      <c r="D129" s="33">
        <f>F11</f>
        <v>3947825.33</v>
      </c>
      <c r="F129" s="33">
        <v>4308896.21</v>
      </c>
      <c r="G129" s="33"/>
      <c r="H129" s="33"/>
    </row>
    <row r="130" spans="1:8" ht="14.25">
      <c r="A130" s="31" t="s">
        <v>105</v>
      </c>
      <c r="B130" s="32"/>
      <c r="C130" s="33">
        <f>C11</f>
        <v>3947825.33</v>
      </c>
      <c r="D130" s="33">
        <f>D11</f>
        <v>2386254.64</v>
      </c>
      <c r="F130" s="33">
        <f>F11</f>
        <v>3947825.33</v>
      </c>
      <c r="G130" s="33"/>
      <c r="H130" s="33"/>
    </row>
    <row r="131" spans="1:8" ht="15.75" thickBot="1">
      <c r="A131" s="12" t="s">
        <v>106</v>
      </c>
      <c r="B131" s="17"/>
      <c r="C131" s="13">
        <f>C130-C129</f>
        <v>3947825.33</v>
      </c>
      <c r="D131" s="13">
        <f>D129-D130</f>
        <v>1561570.69</v>
      </c>
      <c r="E131" s="13">
        <f>E129-E130</f>
        <v>0</v>
      </c>
      <c r="F131" s="13">
        <f>F129-F130</f>
        <v>361070.8799999999</v>
      </c>
      <c r="G131" s="11"/>
      <c r="H131" s="11"/>
    </row>
    <row r="132" spans="1:9" ht="22.5" customHeight="1">
      <c r="A132" s="86"/>
      <c r="B132" s="86"/>
      <c r="C132" s="92">
        <f>C115+C124+C131</f>
        <v>3798590.2299999995</v>
      </c>
      <c r="D132" s="92"/>
      <c r="E132" s="92" t="e">
        <f>E115+E124+E131</f>
        <v>#VALUE!</v>
      </c>
      <c r="F132" s="92"/>
      <c r="G132" s="92">
        <f>G115+G124-G131</f>
        <v>0</v>
      </c>
      <c r="H132" s="21"/>
      <c r="I132" s="21"/>
    </row>
    <row r="133" spans="1:8" ht="75" customHeight="1">
      <c r="A133" s="152" t="s">
        <v>252</v>
      </c>
      <c r="B133" s="152"/>
      <c r="C133" s="152"/>
      <c r="D133" s="152"/>
      <c r="E133" s="152"/>
      <c r="F133" s="152"/>
      <c r="G133" s="153"/>
      <c r="H133" s="136"/>
    </row>
    <row r="134" spans="1:8" ht="84.75" customHeight="1">
      <c r="A134" s="152" t="s">
        <v>253</v>
      </c>
      <c r="B134" s="152"/>
      <c r="C134" s="152"/>
      <c r="D134" s="152"/>
      <c r="E134" s="152"/>
      <c r="F134" s="152"/>
      <c r="G134" s="136"/>
      <c r="H134" s="136"/>
    </row>
    <row r="135" spans="1:8" ht="15">
      <c r="A135" s="149" t="s">
        <v>113</v>
      </c>
      <c r="B135" s="149"/>
      <c r="C135" s="149"/>
      <c r="D135" s="149"/>
      <c r="E135" s="149"/>
      <c r="F135" s="149"/>
      <c r="G135" s="136"/>
      <c r="H135" s="136"/>
    </row>
    <row r="136" ht="14.25"/>
    <row r="137" ht="14.25"/>
    <row r="138" ht="15">
      <c r="A138" s="9" t="s">
        <v>215</v>
      </c>
    </row>
    <row r="139" spans="1:16" ht="15">
      <c r="A139" s="93"/>
      <c r="B139" s="93"/>
      <c r="C139" s="93"/>
      <c r="D139" s="94" t="s">
        <v>50</v>
      </c>
      <c r="E139" s="94"/>
      <c r="F139" s="94" t="s">
        <v>17</v>
      </c>
      <c r="G139" s="94"/>
      <c r="H139" s="94" t="s">
        <v>18</v>
      </c>
      <c r="I139" s="94"/>
      <c r="J139" s="94" t="s">
        <v>157</v>
      </c>
      <c r="K139" s="94"/>
      <c r="L139" s="94" t="s">
        <v>107</v>
      </c>
      <c r="M139" s="94"/>
      <c r="N139" s="94" t="s">
        <v>159</v>
      </c>
      <c r="O139" s="94"/>
      <c r="P139" s="94" t="s">
        <v>51</v>
      </c>
    </row>
    <row r="140" spans="1:16" ht="15">
      <c r="A140" s="93"/>
      <c r="B140" s="93"/>
      <c r="C140" s="93"/>
      <c r="D140" s="94"/>
      <c r="E140" s="94"/>
      <c r="F140" s="94"/>
      <c r="G140" s="94"/>
      <c r="H140" s="94"/>
      <c r="I140" s="94"/>
      <c r="J140" s="94" t="s">
        <v>158</v>
      </c>
      <c r="K140" s="94"/>
      <c r="L140" s="94"/>
      <c r="M140" s="94"/>
      <c r="N140" s="94"/>
      <c r="O140" s="94"/>
      <c r="P140" s="94"/>
    </row>
    <row r="141" spans="1:16" ht="15">
      <c r="A141" s="93" t="s">
        <v>70</v>
      </c>
      <c r="B141" s="64"/>
      <c r="C141" s="64"/>
      <c r="D141" s="95"/>
      <c r="E141" s="96"/>
      <c r="F141" s="96"/>
      <c r="G141" s="96"/>
      <c r="H141" s="96"/>
      <c r="I141" s="96"/>
      <c r="J141" s="96"/>
      <c r="K141" s="96"/>
      <c r="L141" s="96"/>
      <c r="M141" s="96"/>
      <c r="N141" s="96"/>
      <c r="O141" s="96"/>
      <c r="P141" s="96"/>
    </row>
    <row r="142" spans="1:16" ht="14.25">
      <c r="A142" s="64" t="s">
        <v>162</v>
      </c>
      <c r="B142" s="64"/>
      <c r="C142" s="64"/>
      <c r="D142" s="96"/>
      <c r="E142" s="96"/>
      <c r="F142" s="96"/>
      <c r="G142" s="96"/>
      <c r="H142" s="96"/>
      <c r="I142" s="96"/>
      <c r="J142" s="96"/>
      <c r="K142" s="96"/>
      <c r="L142" s="96"/>
      <c r="M142" s="96"/>
      <c r="N142" s="96"/>
      <c r="O142" s="96"/>
      <c r="P142" s="96"/>
    </row>
    <row r="143" spans="1:16" ht="15">
      <c r="A143" s="97"/>
      <c r="B143" s="98" t="s">
        <v>49</v>
      </c>
      <c r="C143" s="97"/>
      <c r="D143" s="99">
        <v>2022</v>
      </c>
      <c r="E143" s="97"/>
      <c r="F143" s="99" t="s">
        <v>108</v>
      </c>
      <c r="G143" s="97"/>
      <c r="H143" s="99" t="s">
        <v>108</v>
      </c>
      <c r="I143" s="97"/>
      <c r="J143" s="99" t="s">
        <v>108</v>
      </c>
      <c r="K143" s="97"/>
      <c r="L143" s="99" t="s">
        <v>108</v>
      </c>
      <c r="M143" s="97"/>
      <c r="N143" s="99" t="s">
        <v>108</v>
      </c>
      <c r="O143" s="97"/>
      <c r="P143" s="99" t="s">
        <v>108</v>
      </c>
    </row>
    <row r="144" spans="1:16" ht="14.25">
      <c r="A144" s="64" t="s">
        <v>109</v>
      </c>
      <c r="B144" s="64"/>
      <c r="C144" s="64"/>
      <c r="D144" s="63">
        <v>38737.9</v>
      </c>
      <c r="E144" s="63"/>
      <c r="F144" s="63"/>
      <c r="G144" s="63"/>
      <c r="H144" s="63"/>
      <c r="I144" s="63"/>
      <c r="J144" s="63"/>
      <c r="K144" s="63"/>
      <c r="L144" s="63">
        <v>500</v>
      </c>
      <c r="M144" s="63"/>
      <c r="N144" s="63">
        <v>-500</v>
      </c>
      <c r="O144" s="63"/>
      <c r="P144" s="63">
        <f>D144+N144</f>
        <v>38237.9</v>
      </c>
    </row>
    <row r="145" spans="1:16" ht="14.25">
      <c r="A145" s="64" t="s">
        <v>153</v>
      </c>
      <c r="B145" s="64"/>
      <c r="C145" s="64"/>
      <c r="D145" s="63">
        <v>88005.62</v>
      </c>
      <c r="E145" s="63"/>
      <c r="F145" s="63"/>
      <c r="G145" s="63"/>
      <c r="H145" s="63"/>
      <c r="I145" s="63"/>
      <c r="J145" s="63"/>
      <c r="K145" s="63"/>
      <c r="L145" s="63"/>
      <c r="M145" s="63"/>
      <c r="N145" s="63">
        <v>0</v>
      </c>
      <c r="O145" s="63"/>
      <c r="P145" s="63">
        <f>D145+N145</f>
        <v>88005.62</v>
      </c>
    </row>
    <row r="146" spans="1:16" ht="14.25">
      <c r="A146" s="64" t="s">
        <v>200</v>
      </c>
      <c r="B146" s="64"/>
      <c r="C146" s="64"/>
      <c r="D146" s="63">
        <v>47419.3</v>
      </c>
      <c r="E146" s="63"/>
      <c r="F146" s="63"/>
      <c r="G146" s="63"/>
      <c r="H146" s="63" t="s">
        <v>226</v>
      </c>
      <c r="I146" s="63"/>
      <c r="J146" s="63"/>
      <c r="K146" s="63"/>
      <c r="L146" s="63"/>
      <c r="M146" s="63"/>
      <c r="N146" s="63">
        <v>0</v>
      </c>
      <c r="O146" s="63"/>
      <c r="P146" s="63">
        <f>D146+N146</f>
        <v>47419.3</v>
      </c>
    </row>
    <row r="147" spans="1:16" ht="14.25">
      <c r="A147" s="64" t="s">
        <v>287</v>
      </c>
      <c r="B147" s="64"/>
      <c r="C147" s="64"/>
      <c r="D147" s="63">
        <v>0</v>
      </c>
      <c r="E147" s="63"/>
      <c r="F147" s="63"/>
      <c r="G147" s="63"/>
      <c r="H147" s="63" t="s">
        <v>226</v>
      </c>
      <c r="I147" s="63"/>
      <c r="J147" s="63"/>
      <c r="K147" s="63"/>
      <c r="L147" s="63"/>
      <c r="M147" s="63"/>
      <c r="N147" s="63">
        <v>0</v>
      </c>
      <c r="O147" s="63"/>
      <c r="P147" s="63">
        <f>D147+N147</f>
        <v>0</v>
      </c>
    </row>
    <row r="148" spans="1:16" ht="15">
      <c r="A148" s="100" t="s">
        <v>163</v>
      </c>
      <c r="B148" s="101" t="s">
        <v>226</v>
      </c>
      <c r="C148" s="97"/>
      <c r="D148" s="102">
        <f>SUM(D144:D147)</f>
        <v>174162.82</v>
      </c>
      <c r="E148" s="102"/>
      <c r="F148" s="102">
        <v>0</v>
      </c>
      <c r="G148" s="132"/>
      <c r="H148" s="102">
        <v>0</v>
      </c>
      <c r="I148" s="132"/>
      <c r="J148" s="102">
        <v>0</v>
      </c>
      <c r="K148" s="102"/>
      <c r="L148" s="102">
        <f>SUM(L144:L147)</f>
        <v>500</v>
      </c>
      <c r="M148" s="102" t="s">
        <v>226</v>
      </c>
      <c r="N148" s="102">
        <f>SUM(N144:N147)</f>
        <v>-500</v>
      </c>
      <c r="O148" s="102" t="s">
        <v>226</v>
      </c>
      <c r="P148" s="102">
        <f>SUM(P144:P147)</f>
        <v>173662.82</v>
      </c>
    </row>
    <row r="149" spans="1:16" ht="15">
      <c r="A149" s="93"/>
      <c r="B149" s="103"/>
      <c r="C149" s="64"/>
      <c r="D149" s="104"/>
      <c r="E149" s="104"/>
      <c r="F149" s="104"/>
      <c r="G149" s="104"/>
      <c r="H149" s="104"/>
      <c r="I149" s="104"/>
      <c r="J149" s="104"/>
      <c r="K149" s="104"/>
      <c r="L149" s="104"/>
      <c r="M149" s="104"/>
      <c r="N149" s="104"/>
      <c r="O149" s="104"/>
      <c r="P149" s="104"/>
    </row>
    <row r="150" spans="1:16" ht="15">
      <c r="A150" s="93"/>
      <c r="B150" s="103"/>
      <c r="C150" s="64"/>
      <c r="D150" s="104"/>
      <c r="E150" s="104"/>
      <c r="F150" s="104"/>
      <c r="G150" s="104"/>
      <c r="H150" s="104"/>
      <c r="I150" s="104"/>
      <c r="J150" s="104"/>
      <c r="K150" s="104"/>
      <c r="L150" s="104"/>
      <c r="M150" s="104"/>
      <c r="N150" s="104"/>
      <c r="O150" s="104"/>
      <c r="P150" s="104"/>
    </row>
    <row r="151" spans="1:16" ht="15">
      <c r="A151" s="93" t="s">
        <v>73</v>
      </c>
      <c r="B151" s="103"/>
      <c r="C151" s="64"/>
      <c r="D151" s="104"/>
      <c r="E151" s="104"/>
      <c r="F151" s="104"/>
      <c r="G151" s="104"/>
      <c r="H151" s="104"/>
      <c r="I151" s="104"/>
      <c r="J151" s="104"/>
      <c r="K151" s="104"/>
      <c r="L151" s="104"/>
      <c r="M151" s="104"/>
      <c r="N151" s="104"/>
      <c r="O151" s="104"/>
      <c r="P151" s="104"/>
    </row>
    <row r="152" spans="1:16" ht="15">
      <c r="A152" s="93"/>
      <c r="B152" s="103"/>
      <c r="C152" s="64"/>
      <c r="D152" s="104"/>
      <c r="E152" s="104"/>
      <c r="F152" s="104"/>
      <c r="G152" s="104"/>
      <c r="H152" s="104"/>
      <c r="I152" s="104"/>
      <c r="J152" s="104"/>
      <c r="K152" s="104"/>
      <c r="L152" s="104"/>
      <c r="M152" s="104"/>
      <c r="N152" s="104"/>
      <c r="O152" s="104"/>
      <c r="P152" s="104"/>
    </row>
    <row r="153" spans="1:20" ht="14.25">
      <c r="A153" s="64" t="s">
        <v>112</v>
      </c>
      <c r="B153" s="64"/>
      <c r="C153" s="64"/>
      <c r="D153" s="63">
        <v>26031.3</v>
      </c>
      <c r="E153" s="63"/>
      <c r="F153" s="63">
        <v>75000</v>
      </c>
      <c r="G153" s="63"/>
      <c r="H153" s="63"/>
      <c r="I153" s="63"/>
      <c r="J153" s="63"/>
      <c r="K153" s="63"/>
      <c r="L153" s="63">
        <v>100000</v>
      </c>
      <c r="M153" s="63"/>
      <c r="N153" s="63">
        <v>-25000</v>
      </c>
      <c r="O153" s="63"/>
      <c r="P153" s="63">
        <v>1031.3</v>
      </c>
      <c r="S153" s="59"/>
      <c r="T153" s="59"/>
    </row>
    <row r="154" spans="1:16" ht="17.25" customHeight="1">
      <c r="A154" s="64" t="s">
        <v>75</v>
      </c>
      <c r="B154" s="103" t="s">
        <v>226</v>
      </c>
      <c r="C154" s="64"/>
      <c r="D154" s="63">
        <v>5107256.31</v>
      </c>
      <c r="E154" s="63"/>
      <c r="F154" s="63"/>
      <c r="G154" s="63"/>
      <c r="H154" s="63" t="s">
        <v>226</v>
      </c>
      <c r="I154" s="63"/>
      <c r="J154" s="63">
        <v>-592463.13</v>
      </c>
      <c r="K154" s="63"/>
      <c r="L154" s="63"/>
      <c r="M154" s="63"/>
      <c r="N154" s="63">
        <v>-592463.13</v>
      </c>
      <c r="O154" s="63"/>
      <c r="P154" s="63">
        <f>D154+F154+L154+J154</f>
        <v>4514793.18</v>
      </c>
    </row>
    <row r="155" spans="1:16" ht="15.75" thickBot="1">
      <c r="A155" s="105" t="s">
        <v>164</v>
      </c>
      <c r="B155" s="105"/>
      <c r="C155" s="105"/>
      <c r="D155" s="106">
        <f>SUM(D153:D154)</f>
        <v>5133287.609999999</v>
      </c>
      <c r="E155" s="106">
        <v>0</v>
      </c>
      <c r="F155" s="106">
        <f aca="true" t="shared" si="0" ref="F155:N155">SUM(F153:F154)</f>
        <v>75000</v>
      </c>
      <c r="G155" s="106">
        <f t="shared" si="0"/>
        <v>0</v>
      </c>
      <c r="H155" s="106">
        <f t="shared" si="0"/>
        <v>0</v>
      </c>
      <c r="I155" s="106" t="s">
        <v>226</v>
      </c>
      <c r="J155" s="106">
        <f t="shared" si="0"/>
        <v>-592463.13</v>
      </c>
      <c r="K155" s="106" t="s">
        <v>226</v>
      </c>
      <c r="L155" s="106">
        <f t="shared" si="0"/>
        <v>100000</v>
      </c>
      <c r="M155" s="106" t="s">
        <v>226</v>
      </c>
      <c r="N155" s="106">
        <f t="shared" si="0"/>
        <v>-617463.13</v>
      </c>
      <c r="O155" s="106" t="s">
        <v>226</v>
      </c>
      <c r="P155" s="106">
        <f>SUM(P153:P154)</f>
        <v>4515824.4799999995</v>
      </c>
    </row>
    <row r="156" spans="4:6" ht="14.25">
      <c r="D156" s="33"/>
      <c r="E156" s="33"/>
      <c r="F156" s="33"/>
    </row>
    <row r="157" spans="2:6" ht="14.25">
      <c r="B157" s="32"/>
      <c r="D157" s="33"/>
      <c r="E157" s="33"/>
      <c r="F157" s="33"/>
    </row>
    <row r="158" spans="2:6" ht="14.25">
      <c r="B158" s="32"/>
      <c r="D158" s="33"/>
      <c r="E158" s="33"/>
      <c r="F158" s="33"/>
    </row>
    <row r="159" ht="14.25">
      <c r="B159" s="32"/>
    </row>
    <row r="160" ht="15">
      <c r="A160" s="9" t="s">
        <v>254</v>
      </c>
    </row>
    <row r="161" spans="4:16" ht="15">
      <c r="D161" s="10" t="s">
        <v>50</v>
      </c>
      <c r="E161" s="10"/>
      <c r="F161" s="10" t="s">
        <v>17</v>
      </c>
      <c r="G161" s="10"/>
      <c r="H161" s="10" t="s">
        <v>18</v>
      </c>
      <c r="I161" s="10"/>
      <c r="J161" s="10" t="s">
        <v>157</v>
      </c>
      <c r="K161" s="10"/>
      <c r="L161" s="10" t="s">
        <v>107</v>
      </c>
      <c r="M161" s="10"/>
      <c r="N161" s="10" t="s">
        <v>159</v>
      </c>
      <c r="O161" s="10"/>
      <c r="P161" s="10" t="s">
        <v>51</v>
      </c>
    </row>
    <row r="162" spans="1:16" ht="15">
      <c r="A162" s="9"/>
      <c r="B162" s="9"/>
      <c r="C162" s="9"/>
      <c r="D162" s="10"/>
      <c r="E162" s="10"/>
      <c r="F162" s="10"/>
      <c r="G162" s="10"/>
      <c r="H162" s="10"/>
      <c r="I162" s="10"/>
      <c r="J162" s="10" t="s">
        <v>158</v>
      </c>
      <c r="K162" s="10"/>
      <c r="L162" s="10"/>
      <c r="M162" s="10"/>
      <c r="N162" s="10"/>
      <c r="O162" s="10"/>
      <c r="P162" s="10"/>
    </row>
    <row r="163" spans="1:16" ht="15">
      <c r="A163" s="9" t="s">
        <v>70</v>
      </c>
      <c r="D163" s="50"/>
      <c r="E163" s="42"/>
      <c r="F163" s="42"/>
      <c r="G163" s="42"/>
      <c r="H163" s="42"/>
      <c r="I163" s="42"/>
      <c r="J163" s="42"/>
      <c r="K163" s="42"/>
      <c r="L163" s="42"/>
      <c r="M163" s="42"/>
      <c r="N163" s="42"/>
      <c r="O163" s="42"/>
      <c r="P163" s="42"/>
    </row>
    <row r="164" spans="1:16" ht="14.25">
      <c r="A164" s="31" t="s">
        <v>162</v>
      </c>
      <c r="D164" s="42"/>
      <c r="E164" s="42"/>
      <c r="F164" s="42"/>
      <c r="G164" s="42"/>
      <c r="H164" s="42"/>
      <c r="I164" s="42"/>
      <c r="J164" s="42"/>
      <c r="K164" s="42"/>
      <c r="L164" s="42"/>
      <c r="M164" s="42"/>
      <c r="N164" s="42"/>
      <c r="O164" s="42"/>
      <c r="P164" s="42"/>
    </row>
    <row r="165" spans="1:16" ht="18" customHeight="1">
      <c r="A165" s="51"/>
      <c r="B165" s="20" t="s">
        <v>49</v>
      </c>
      <c r="C165" s="51"/>
      <c r="D165" s="18">
        <v>2023</v>
      </c>
      <c r="E165" s="51"/>
      <c r="F165" s="18" t="s">
        <v>108</v>
      </c>
      <c r="G165" s="51"/>
      <c r="H165" s="18" t="s">
        <v>108</v>
      </c>
      <c r="I165" s="51"/>
      <c r="J165" s="18" t="s">
        <v>108</v>
      </c>
      <c r="K165" s="51"/>
      <c r="L165" s="18" t="s">
        <v>108</v>
      </c>
      <c r="M165" s="51"/>
      <c r="N165" s="18" t="s">
        <v>108</v>
      </c>
      <c r="O165" s="51"/>
      <c r="P165" s="18" t="s">
        <v>108</v>
      </c>
    </row>
    <row r="166" spans="1:16" ht="14.25">
      <c r="A166" s="31" t="s">
        <v>109</v>
      </c>
      <c r="D166" s="33">
        <f>P144</f>
        <v>38237.9</v>
      </c>
      <c r="E166" s="33"/>
      <c r="F166" s="33"/>
      <c r="G166" s="33"/>
      <c r="H166" s="33"/>
      <c r="I166" s="33"/>
      <c r="J166" s="33"/>
      <c r="K166" s="33"/>
      <c r="L166" s="33">
        <v>500</v>
      </c>
      <c r="M166" s="33"/>
      <c r="N166" s="33">
        <f>H166-L166</f>
        <v>-500</v>
      </c>
      <c r="O166" s="33"/>
      <c r="P166" s="33">
        <f>D166+N166</f>
        <v>37737.9</v>
      </c>
    </row>
    <row r="167" spans="1:18" ht="14.25">
      <c r="A167" s="31" t="s">
        <v>153</v>
      </c>
      <c r="D167" s="33">
        <v>88005.62</v>
      </c>
      <c r="E167" s="33"/>
      <c r="F167" s="33"/>
      <c r="G167" s="33"/>
      <c r="H167" s="107"/>
      <c r="I167" s="107"/>
      <c r="J167" s="107"/>
      <c r="K167" s="107"/>
      <c r="L167" s="107"/>
      <c r="M167" s="107"/>
      <c r="N167" s="63">
        <v>0</v>
      </c>
      <c r="O167" s="33"/>
      <c r="P167" s="33">
        <f>D167+N167</f>
        <v>88005.62</v>
      </c>
      <c r="R167" s="33"/>
    </row>
    <row r="168" spans="1:18" ht="14.25">
      <c r="A168" s="31" t="s">
        <v>200</v>
      </c>
      <c r="D168" s="33">
        <v>47419.3</v>
      </c>
      <c r="E168" s="33"/>
      <c r="F168" s="33"/>
      <c r="G168" s="33"/>
      <c r="H168" s="107">
        <v>0</v>
      </c>
      <c r="I168" s="107"/>
      <c r="J168" s="107"/>
      <c r="K168" s="107"/>
      <c r="L168" s="107">
        <v>0</v>
      </c>
      <c r="M168" s="107"/>
      <c r="N168" s="63">
        <v>0</v>
      </c>
      <c r="O168" s="33"/>
      <c r="P168" s="33">
        <f>D168+N168</f>
        <v>47419.3</v>
      </c>
      <c r="R168" s="33"/>
    </row>
    <row r="169" spans="1:18" ht="14.25">
      <c r="A169" s="31" t="s">
        <v>288</v>
      </c>
      <c r="D169" s="33">
        <v>0</v>
      </c>
      <c r="E169" s="33"/>
      <c r="F169" s="107">
        <v>0</v>
      </c>
      <c r="G169" s="33"/>
      <c r="H169" s="33">
        <v>45834.16</v>
      </c>
      <c r="I169" s="33"/>
      <c r="J169" s="130" t="s">
        <v>226</v>
      </c>
      <c r="K169" s="33"/>
      <c r="L169" s="33">
        <v>10000</v>
      </c>
      <c r="M169" s="33"/>
      <c r="N169" s="33">
        <f>H169-L169</f>
        <v>35834.16</v>
      </c>
      <c r="O169" s="33"/>
      <c r="P169" s="33">
        <f>D169+N169</f>
        <v>35834.16</v>
      </c>
      <c r="R169" s="33"/>
    </row>
    <row r="170" spans="1:23" ht="15">
      <c r="A170" s="19" t="s">
        <v>163</v>
      </c>
      <c r="B170" s="30" t="s">
        <v>255</v>
      </c>
      <c r="C170" s="51"/>
      <c r="D170" s="27">
        <f>SUM(D166:D168)</f>
        <v>173662.82</v>
      </c>
      <c r="E170" s="27">
        <f>SUM(E166:E168)</f>
        <v>0</v>
      </c>
      <c r="F170" s="27">
        <f>SUM(F166:F169)</f>
        <v>0</v>
      </c>
      <c r="G170" s="27">
        <f>SUM(G166:G169)</f>
        <v>0</v>
      </c>
      <c r="H170" s="27">
        <f>SUM(H166:H169)</f>
        <v>45834.16</v>
      </c>
      <c r="I170" s="27" t="s">
        <v>226</v>
      </c>
      <c r="J170" s="27">
        <f>SUM(J169)</f>
        <v>0</v>
      </c>
      <c r="K170" s="27" t="s">
        <v>226</v>
      </c>
      <c r="L170" s="27">
        <f>SUM(L166:L169)</f>
        <v>10500</v>
      </c>
      <c r="M170" s="27" t="s">
        <v>226</v>
      </c>
      <c r="N170" s="27">
        <f>SUM(N166:N169)</f>
        <v>35334.16</v>
      </c>
      <c r="O170" s="27" t="s">
        <v>226</v>
      </c>
      <c r="P170" s="27">
        <f>SUM(P166:P169)</f>
        <v>208996.98</v>
      </c>
      <c r="R170" s="33"/>
      <c r="S170" s="59"/>
      <c r="W170" s="59"/>
    </row>
    <row r="171" spans="1:19" ht="15">
      <c r="A171" s="9"/>
      <c r="B171" s="32"/>
      <c r="D171" s="11"/>
      <c r="E171" s="11"/>
      <c r="F171" s="11"/>
      <c r="G171" s="11"/>
      <c r="H171" s="11"/>
      <c r="I171" s="11"/>
      <c r="J171" s="11"/>
      <c r="K171" s="11"/>
      <c r="L171" s="11"/>
      <c r="M171" s="11"/>
      <c r="N171" s="11"/>
      <c r="O171" s="11"/>
      <c r="P171" s="11"/>
      <c r="S171" s="59"/>
    </row>
    <row r="172" spans="1:16" ht="15">
      <c r="A172" s="9"/>
      <c r="B172" s="32"/>
      <c r="D172" s="11"/>
      <c r="E172" s="11"/>
      <c r="F172" s="11"/>
      <c r="G172" s="11"/>
      <c r="H172" s="11"/>
      <c r="I172" s="11"/>
      <c r="J172" s="11"/>
      <c r="K172" s="11"/>
      <c r="L172" s="11"/>
      <c r="M172" s="11"/>
      <c r="N172" s="11"/>
      <c r="O172" s="11"/>
      <c r="P172" s="11"/>
    </row>
    <row r="173" spans="1:16" ht="15">
      <c r="A173" s="9" t="s">
        <v>73</v>
      </c>
      <c r="B173" s="32"/>
      <c r="D173" s="11"/>
      <c r="E173" s="11"/>
      <c r="F173" s="11"/>
      <c r="G173" s="11"/>
      <c r="H173" s="11"/>
      <c r="I173" s="11"/>
      <c r="J173" s="11"/>
      <c r="K173" s="11"/>
      <c r="L173" s="11"/>
      <c r="M173" s="11"/>
      <c r="N173" s="11"/>
      <c r="O173" s="11"/>
      <c r="P173" s="11"/>
    </row>
    <row r="174" spans="1:16" ht="15">
      <c r="A174" s="9"/>
      <c r="B174" s="32"/>
      <c r="D174" s="11"/>
      <c r="E174" s="11"/>
      <c r="F174" s="11"/>
      <c r="G174" s="11"/>
      <c r="H174" s="11"/>
      <c r="I174" s="11"/>
      <c r="J174" s="11"/>
      <c r="K174" s="11"/>
      <c r="L174" s="11"/>
      <c r="M174" s="11"/>
      <c r="N174" s="11"/>
      <c r="O174" s="11"/>
      <c r="P174" s="11"/>
    </row>
    <row r="175" spans="1:18" ht="14.25">
      <c r="A175" s="31" t="s">
        <v>112</v>
      </c>
      <c r="D175" s="33">
        <v>1031.3</v>
      </c>
      <c r="E175" s="33"/>
      <c r="F175" s="33">
        <v>75000</v>
      </c>
      <c r="G175" s="33"/>
      <c r="H175" s="33"/>
      <c r="I175" s="33"/>
      <c r="J175" s="33"/>
      <c r="K175" s="33"/>
      <c r="L175" s="33">
        <v>76031.3</v>
      </c>
      <c r="M175" s="33"/>
      <c r="N175" s="33">
        <f>F175-L175</f>
        <v>-1031.300000000003</v>
      </c>
      <c r="O175" s="33"/>
      <c r="P175" s="63">
        <f>D175+N175</f>
        <v>-2.9558577807620168E-12</v>
      </c>
      <c r="Q175" s="108"/>
      <c r="R175" s="108"/>
    </row>
    <row r="176" spans="1:18" ht="14.25">
      <c r="A176" s="31" t="s">
        <v>75</v>
      </c>
      <c r="B176" s="32" t="s">
        <v>82</v>
      </c>
      <c r="D176" s="33">
        <f>P154</f>
        <v>4514793.18</v>
      </c>
      <c r="E176" s="33"/>
      <c r="F176" s="33"/>
      <c r="G176" s="33"/>
      <c r="H176" s="33" t="s">
        <v>226</v>
      </c>
      <c r="I176" s="33"/>
      <c r="J176" s="33">
        <f>-D94</f>
        <v>-300961.5799999972</v>
      </c>
      <c r="K176" s="33"/>
      <c r="L176" s="33"/>
      <c r="M176" s="33"/>
      <c r="N176" s="33">
        <f>SUM(F176:L176)</f>
        <v>-300961.5799999972</v>
      </c>
      <c r="O176" s="33"/>
      <c r="P176" s="33">
        <f>D176+N176</f>
        <v>4213831.600000002</v>
      </c>
      <c r="Q176" s="108"/>
      <c r="R176" s="108"/>
    </row>
    <row r="177" spans="1:18" ht="16.5" customHeight="1" thickBot="1">
      <c r="A177" s="12" t="s">
        <v>164</v>
      </c>
      <c r="B177" s="12"/>
      <c r="C177" s="12"/>
      <c r="D177" s="13">
        <f>SUM(D175:D176)</f>
        <v>4515824.4799999995</v>
      </c>
      <c r="E177" s="13">
        <v>0</v>
      </c>
      <c r="F177" s="13">
        <f>SUM(F175:F176)</f>
        <v>75000</v>
      </c>
      <c r="G177" s="13">
        <f aca="true" t="shared" si="1" ref="G177:L177">SUM(G175:G176)</f>
        <v>0</v>
      </c>
      <c r="H177" s="13">
        <f t="shared" si="1"/>
        <v>0</v>
      </c>
      <c r="I177" s="13" t="s">
        <v>226</v>
      </c>
      <c r="J177" s="13">
        <f t="shared" si="1"/>
        <v>-300961.5799999972</v>
      </c>
      <c r="K177" s="13" t="s">
        <v>226</v>
      </c>
      <c r="L177" s="13">
        <f t="shared" si="1"/>
        <v>76031.3</v>
      </c>
      <c r="M177" s="13" t="s">
        <v>226</v>
      </c>
      <c r="N177" s="13">
        <f>SUM(N175:N176)</f>
        <v>-301992.8799999972</v>
      </c>
      <c r="O177" s="13"/>
      <c r="P177" s="13">
        <f>SUM(P175:P176)</f>
        <v>4213831.600000002</v>
      </c>
      <c r="Q177" s="91"/>
      <c r="R177" s="91"/>
    </row>
    <row r="178" ht="14.25">
      <c r="J178" s="33"/>
    </row>
    <row r="179" ht="14.25"/>
    <row r="180" ht="14.25"/>
    <row r="181" ht="14.25"/>
    <row r="182" ht="14.25"/>
    <row r="183" ht="14.25"/>
    <row r="184" ht="14.25">
      <c r="S184" s="59"/>
    </row>
    <row r="185" ht="34.5">
      <c r="A185" s="1" t="s">
        <v>114</v>
      </c>
    </row>
    <row r="186" ht="15">
      <c r="A186" s="9" t="s">
        <v>256</v>
      </c>
    </row>
    <row r="187" ht="15">
      <c r="A187" s="9"/>
    </row>
    <row r="188" ht="18" customHeight="1"/>
    <row r="189" spans="1:8" ht="15" customHeight="1">
      <c r="A189" s="134" t="s">
        <v>115</v>
      </c>
      <c r="B189" s="134"/>
      <c r="C189" s="68"/>
      <c r="D189" s="68"/>
      <c r="E189" s="68"/>
      <c r="F189" s="68"/>
      <c r="G189" s="68"/>
      <c r="H189" s="68"/>
    </row>
    <row r="190" spans="1:8" ht="83.25" customHeight="1">
      <c r="A190" s="136" t="s">
        <v>257</v>
      </c>
      <c r="B190" s="136"/>
      <c r="C190" s="136"/>
      <c r="D190" s="136"/>
      <c r="E190" s="136"/>
      <c r="F190" s="136"/>
      <c r="G190" s="79"/>
      <c r="H190" s="110"/>
    </row>
    <row r="191" spans="1:8" ht="14.25">
      <c r="A191" s="45"/>
      <c r="B191" s="45"/>
      <c r="C191" s="45"/>
      <c r="D191" s="45"/>
      <c r="E191" s="45"/>
      <c r="F191" s="45"/>
      <c r="G191" s="45"/>
      <c r="H191" s="45"/>
    </row>
    <row r="192" spans="1:8" ht="15">
      <c r="A192" s="109" t="s">
        <v>116</v>
      </c>
      <c r="B192" s="68"/>
      <c r="C192" s="68"/>
      <c r="D192" s="68"/>
      <c r="E192" s="68"/>
      <c r="F192" s="68"/>
      <c r="G192" s="68"/>
      <c r="H192" s="68"/>
    </row>
    <row r="193" spans="1:8" ht="89.25" customHeight="1">
      <c r="A193" s="136" t="s">
        <v>258</v>
      </c>
      <c r="B193" s="136"/>
      <c r="C193" s="136"/>
      <c r="D193" s="136"/>
      <c r="E193" s="136"/>
      <c r="F193" s="136"/>
      <c r="G193" s="79"/>
      <c r="H193" s="79"/>
    </row>
    <row r="194" ht="14.25"/>
    <row r="195" spans="1:8" ht="15" customHeight="1">
      <c r="A195" s="134" t="s">
        <v>139</v>
      </c>
      <c r="B195" s="134"/>
      <c r="C195" s="134"/>
      <c r="D195" s="134"/>
      <c r="E195" s="68"/>
      <c r="F195" s="68"/>
      <c r="G195" s="68"/>
      <c r="H195" s="68"/>
    </row>
    <row r="196" spans="1:8" ht="66" customHeight="1">
      <c r="A196" s="136" t="s">
        <v>259</v>
      </c>
      <c r="B196" s="136"/>
      <c r="C196" s="136"/>
      <c r="D196" s="136"/>
      <c r="E196" s="136"/>
      <c r="F196" s="136"/>
      <c r="G196" s="79"/>
      <c r="H196" s="79"/>
    </row>
    <row r="197" ht="14.25"/>
    <row r="198" spans="1:8" ht="15" customHeight="1">
      <c r="A198" s="148" t="s">
        <v>117</v>
      </c>
      <c r="B198" s="148"/>
      <c r="C198" s="148"/>
      <c r="D198" s="148"/>
      <c r="E198" s="44"/>
      <c r="F198" s="44"/>
      <c r="G198" s="44"/>
      <c r="H198" s="44"/>
    </row>
    <row r="199" spans="1:8" ht="78" customHeight="1">
      <c r="A199" s="136" t="s">
        <v>147</v>
      </c>
      <c r="B199" s="136"/>
      <c r="C199" s="136"/>
      <c r="D199" s="136"/>
      <c r="E199" s="136"/>
      <c r="F199" s="136"/>
      <c r="G199" s="79"/>
      <c r="H199" s="79"/>
    </row>
    <row r="200" ht="14.25"/>
    <row r="201" spans="1:8" ht="15">
      <c r="A201" s="109" t="s">
        <v>53</v>
      </c>
      <c r="B201" s="68"/>
      <c r="C201" s="68"/>
      <c r="D201" s="68"/>
      <c r="E201" s="68"/>
      <c r="F201" s="68"/>
      <c r="G201" s="68"/>
      <c r="H201" s="68"/>
    </row>
    <row r="202" spans="1:8" ht="21.75" customHeight="1">
      <c r="A202" s="136" t="s">
        <v>118</v>
      </c>
      <c r="B202" s="136"/>
      <c r="C202" s="136"/>
      <c r="D202" s="136"/>
      <c r="E202" s="136"/>
      <c r="F202" s="136"/>
      <c r="G202" s="48"/>
      <c r="H202" s="48"/>
    </row>
    <row r="203" ht="14.25"/>
    <row r="204" spans="1:8" ht="15">
      <c r="A204" s="109" t="s">
        <v>54</v>
      </c>
      <c r="B204" s="68"/>
      <c r="C204" s="68"/>
      <c r="D204" s="68"/>
      <c r="E204" s="68"/>
      <c r="F204" s="68"/>
      <c r="G204" s="68"/>
      <c r="H204" s="68"/>
    </row>
    <row r="205" spans="1:8" ht="34.5" customHeight="1">
      <c r="A205" s="136" t="s">
        <v>228</v>
      </c>
      <c r="B205" s="136"/>
      <c r="C205" s="136"/>
      <c r="D205" s="136"/>
      <c r="E205" s="136"/>
      <c r="F205" s="136"/>
      <c r="G205" s="79"/>
      <c r="H205" s="79"/>
    </row>
    <row r="206" ht="14.25"/>
    <row r="207" spans="1:8" ht="15">
      <c r="A207" s="109" t="s">
        <v>55</v>
      </c>
      <c r="B207" s="68"/>
      <c r="C207" s="68"/>
      <c r="D207" s="68"/>
      <c r="E207" s="68"/>
      <c r="F207" s="68"/>
      <c r="G207" s="68"/>
      <c r="H207" s="68"/>
    </row>
    <row r="208" spans="1:8" ht="32.25" customHeight="1">
      <c r="A208" s="136" t="s">
        <v>143</v>
      </c>
      <c r="B208" s="136"/>
      <c r="C208" s="136"/>
      <c r="D208" s="136"/>
      <c r="E208" s="136"/>
      <c r="F208" s="136"/>
      <c r="G208" s="79"/>
      <c r="H208" s="79"/>
    </row>
    <row r="209" ht="15" customHeight="1"/>
    <row r="210" spans="1:8" ht="15" customHeight="1">
      <c r="A210" s="109" t="s">
        <v>56</v>
      </c>
      <c r="B210" s="68"/>
      <c r="C210" s="68"/>
      <c r="D210" s="68"/>
      <c r="E210" s="68"/>
      <c r="F210" s="68"/>
      <c r="G210" s="68"/>
      <c r="H210" s="68"/>
    </row>
    <row r="211" spans="1:8" ht="49.5" customHeight="1">
      <c r="A211" s="136" t="s">
        <v>119</v>
      </c>
      <c r="B211" s="136"/>
      <c r="C211" s="136"/>
      <c r="D211" s="136"/>
      <c r="E211" s="136"/>
      <c r="F211" s="136"/>
      <c r="G211" s="79"/>
      <c r="H211" s="79"/>
    </row>
    <row r="212" ht="15" customHeight="1"/>
    <row r="213" spans="1:8" ht="15.75" customHeight="1">
      <c r="A213" s="109" t="s">
        <v>60</v>
      </c>
      <c r="B213" s="68"/>
      <c r="C213" s="68"/>
      <c r="D213" s="68"/>
      <c r="E213" s="68"/>
      <c r="F213" s="68"/>
      <c r="G213" s="68"/>
      <c r="H213" s="68"/>
    </row>
    <row r="214" spans="1:8" ht="198" customHeight="1">
      <c r="A214" s="136" t="s">
        <v>260</v>
      </c>
      <c r="B214" s="136"/>
      <c r="C214" s="136"/>
      <c r="D214" s="136"/>
      <c r="E214" s="136"/>
      <c r="F214" s="136"/>
      <c r="G214" s="79"/>
      <c r="H214" s="79"/>
    </row>
    <row r="215" spans="1:8" ht="25.5" customHeight="1">
      <c r="A215" s="80"/>
      <c r="B215" s="80"/>
      <c r="C215" s="80"/>
      <c r="D215" s="80"/>
      <c r="E215" s="80"/>
      <c r="F215" s="80"/>
      <c r="G215" s="79"/>
      <c r="H215" s="79"/>
    </row>
    <row r="216" spans="1:8" ht="15" customHeight="1">
      <c r="A216" s="109" t="s">
        <v>61</v>
      </c>
      <c r="B216" s="68"/>
      <c r="C216" s="68"/>
      <c r="D216" s="68"/>
      <c r="E216" s="68"/>
      <c r="F216" s="68"/>
      <c r="G216" s="68"/>
      <c r="H216" s="68"/>
    </row>
    <row r="217" spans="1:8" ht="45.75" customHeight="1">
      <c r="A217" s="138" t="s">
        <v>293</v>
      </c>
      <c r="B217" s="138"/>
      <c r="C217" s="138"/>
      <c r="D217" s="138"/>
      <c r="E217" s="138"/>
      <c r="F217" s="138"/>
      <c r="G217" s="79"/>
      <c r="H217" s="79"/>
    </row>
    <row r="218" ht="24" customHeight="1">
      <c r="A218" s="21"/>
    </row>
    <row r="219" spans="1:8" ht="15">
      <c r="A219" s="134" t="s">
        <v>120</v>
      </c>
      <c r="B219" s="135"/>
      <c r="C219" s="135"/>
      <c r="D219" s="135"/>
      <c r="E219" s="135"/>
      <c r="F219" s="135"/>
      <c r="G219" s="68"/>
      <c r="H219" s="68"/>
    </row>
    <row r="220" spans="1:8" ht="39" customHeight="1">
      <c r="A220" s="136" t="s">
        <v>121</v>
      </c>
      <c r="B220" s="137"/>
      <c r="C220" s="137"/>
      <c r="D220" s="137"/>
      <c r="E220" s="137"/>
      <c r="F220" s="137"/>
      <c r="G220" s="80"/>
      <c r="H220" s="80"/>
    </row>
    <row r="221" ht="15" customHeight="1">
      <c r="A221" s="21"/>
    </row>
    <row r="222" spans="1:8" ht="15">
      <c r="A222" s="134" t="s">
        <v>69</v>
      </c>
      <c r="B222" s="135"/>
      <c r="C222" s="135"/>
      <c r="D222" s="135"/>
      <c r="E222" s="135"/>
      <c r="F222" s="135"/>
      <c r="G222" s="68"/>
      <c r="H222" s="68"/>
    </row>
    <row r="223" spans="1:6" ht="54" customHeight="1">
      <c r="A223" s="136" t="s">
        <v>122</v>
      </c>
      <c r="B223" s="137"/>
      <c r="C223" s="137"/>
      <c r="D223" s="137"/>
      <c r="E223" s="137"/>
      <c r="F223" s="137"/>
    </row>
    <row r="224" spans="1:6" ht="20.25" customHeight="1">
      <c r="A224" s="80"/>
      <c r="B224" s="129"/>
      <c r="C224" s="129"/>
      <c r="D224" s="129"/>
      <c r="E224" s="129"/>
      <c r="F224" s="129"/>
    </row>
    <row r="225" spans="1:8" ht="15">
      <c r="A225" s="134" t="s">
        <v>110</v>
      </c>
      <c r="B225" s="135"/>
      <c r="C225" s="135"/>
      <c r="D225" s="135"/>
      <c r="E225" s="135"/>
      <c r="F225" s="135"/>
      <c r="G225" s="44"/>
      <c r="H225" s="44"/>
    </row>
    <row r="226" spans="1:12" ht="101.25" customHeight="1">
      <c r="A226" s="136" t="s">
        <v>286</v>
      </c>
      <c r="B226" s="137"/>
      <c r="C226" s="137"/>
      <c r="D226" s="137"/>
      <c r="E226" s="137"/>
      <c r="F226" s="137"/>
      <c r="G226" s="80"/>
      <c r="H226" s="80"/>
      <c r="J226" s="128"/>
      <c r="K226" s="128"/>
      <c r="L226" s="128"/>
    </row>
    <row r="227" ht="15.75" customHeight="1">
      <c r="A227" s="21"/>
    </row>
    <row r="228" spans="1:8" ht="15">
      <c r="A228" s="44" t="s">
        <v>73</v>
      </c>
      <c r="B228" s="44"/>
      <c r="C228" s="44"/>
      <c r="D228" s="44"/>
      <c r="E228" s="44"/>
      <c r="F228" s="44"/>
      <c r="G228" s="44"/>
      <c r="H228" s="44"/>
    </row>
    <row r="229" spans="1:8" ht="33" customHeight="1">
      <c r="A229" s="138" t="s">
        <v>148</v>
      </c>
      <c r="B229" s="138"/>
      <c r="C229" s="138"/>
      <c r="D229" s="138"/>
      <c r="E229" s="138"/>
      <c r="F229" s="138"/>
      <c r="G229" s="80"/>
      <c r="H229" s="80"/>
    </row>
    <row r="230" ht="18" customHeight="1">
      <c r="A230" s="21"/>
    </row>
    <row r="231" spans="1:8" ht="30">
      <c r="A231" s="109" t="s">
        <v>123</v>
      </c>
      <c r="B231" s="68"/>
      <c r="C231" s="68"/>
      <c r="D231" s="68"/>
      <c r="E231" s="68"/>
      <c r="F231" s="68"/>
      <c r="G231" s="68"/>
      <c r="H231" s="68"/>
    </row>
    <row r="232" spans="1:8" ht="96.75" customHeight="1">
      <c r="A232" s="136" t="s">
        <v>212</v>
      </c>
      <c r="B232" s="137"/>
      <c r="C232" s="137"/>
      <c r="D232" s="137"/>
      <c r="E232" s="137"/>
      <c r="F232" s="137"/>
      <c r="G232" s="80"/>
      <c r="H232" s="80"/>
    </row>
    <row r="233" spans="1:8" ht="15" customHeight="1">
      <c r="A233" s="67"/>
      <c r="B233" s="111"/>
      <c r="C233" s="111"/>
      <c r="D233" s="111"/>
      <c r="E233" s="111"/>
      <c r="F233" s="111"/>
      <c r="G233" s="111"/>
      <c r="H233" s="111"/>
    </row>
    <row r="234" spans="1:8" ht="20.25" customHeight="1">
      <c r="A234" s="134" t="s">
        <v>261</v>
      </c>
      <c r="B234" s="135"/>
      <c r="C234" s="135"/>
      <c r="D234" s="135"/>
      <c r="E234" s="135"/>
      <c r="F234" s="135"/>
      <c r="G234" s="68"/>
      <c r="H234" s="68"/>
    </row>
    <row r="235" spans="1:6" ht="56.25" customHeight="1">
      <c r="A235" s="146" t="s">
        <v>45</v>
      </c>
      <c r="B235" s="147"/>
      <c r="C235" s="147"/>
      <c r="D235" s="147"/>
      <c r="E235" s="147"/>
      <c r="F235" s="147"/>
    </row>
    <row r="236" ht="17.25" customHeight="1"/>
    <row r="237" ht="14.25"/>
    <row r="238" ht="15">
      <c r="A238" s="9" t="s">
        <v>141</v>
      </c>
    </row>
    <row r="239" ht="18" customHeight="1"/>
    <row r="240" spans="1:8" ht="21.75" customHeight="1">
      <c r="A240" s="9" t="s">
        <v>124</v>
      </c>
      <c r="B240" s="9"/>
      <c r="C240" s="9"/>
      <c r="D240" s="9"/>
      <c r="E240" s="22">
        <v>44926</v>
      </c>
      <c r="F240" s="22">
        <v>45291</v>
      </c>
      <c r="G240" s="9"/>
      <c r="H240" s="22">
        <v>44926</v>
      </c>
    </row>
    <row r="241" spans="1:8" ht="20.25" customHeight="1">
      <c r="A241" s="31" t="s">
        <v>125</v>
      </c>
      <c r="D241" s="42" t="s">
        <v>108</v>
      </c>
      <c r="E241" s="50">
        <f>754.4+218.05</f>
        <v>972.45</v>
      </c>
      <c r="F241" s="50">
        <f>482.4+192.85</f>
        <v>675.25</v>
      </c>
      <c r="G241" s="42"/>
      <c r="H241" s="50">
        <f>754.4+218.05</f>
        <v>972.45</v>
      </c>
    </row>
    <row r="242" spans="1:8" ht="14.25">
      <c r="A242" s="31" t="s">
        <v>126</v>
      </c>
      <c r="D242" s="42" t="s">
        <v>108</v>
      </c>
      <c r="E242" s="50">
        <f>403381.49+6195.59+199331.11+7391.82+15332.9</f>
        <v>631632.9099999999</v>
      </c>
      <c r="F242" s="50">
        <f>342121.99+8538.87+166708.35+5521.3+7416.07+17070.6</f>
        <v>547377.1799999999</v>
      </c>
      <c r="G242" s="42"/>
      <c r="H242" s="50">
        <f>403381.49+6195.59+199331.11+7391.82+15332.9</f>
        <v>631632.9099999999</v>
      </c>
    </row>
    <row r="243" spans="1:8" ht="14.25">
      <c r="A243" s="31" t="s">
        <v>127</v>
      </c>
      <c r="D243" s="42" t="s">
        <v>108</v>
      </c>
      <c r="E243" s="50">
        <f>858322.25+1045114+273589.71+896872.12+52565.15+188756.74</f>
        <v>3315219.9699999997</v>
      </c>
      <c r="F243" s="50">
        <f>863879.14+214708.9+72306.37+191751.54+40320.64+455235.62</f>
        <v>1838202.21</v>
      </c>
      <c r="G243" s="42"/>
      <c r="H243" s="50">
        <f>858322.25+1045114+273589.71+896872.12+52565.15+188756.74</f>
        <v>3315219.9699999997</v>
      </c>
    </row>
    <row r="244" spans="1:8" ht="18" customHeight="1" thickBot="1">
      <c r="A244" s="12" t="s">
        <v>128</v>
      </c>
      <c r="B244" s="12"/>
      <c r="C244" s="12"/>
      <c r="D244" s="23" t="s">
        <v>108</v>
      </c>
      <c r="E244" s="13">
        <f>SUM(E241:E243)</f>
        <v>3947825.3299999996</v>
      </c>
      <c r="F244" s="13">
        <f>SUM(F241:F243)</f>
        <v>2386254.6399999997</v>
      </c>
      <c r="G244" s="23"/>
      <c r="H244" s="13">
        <f>SUM(H241:H243)</f>
        <v>3947825.3299999996</v>
      </c>
    </row>
    <row r="245" spans="1:9" ht="14.25">
      <c r="A245" s="112"/>
      <c r="B245" s="112"/>
      <c r="C245" s="112"/>
      <c r="D245" s="113"/>
      <c r="E245" s="112"/>
      <c r="F245" s="114"/>
      <c r="G245" s="114"/>
      <c r="H245" s="114"/>
      <c r="I245" s="114" t="s">
        <v>226</v>
      </c>
    </row>
    <row r="246" ht="15" customHeight="1"/>
    <row r="247" ht="24.75" customHeight="1">
      <c r="A247" s="9" t="s">
        <v>129</v>
      </c>
    </row>
    <row r="248" spans="1:8" ht="14.25">
      <c r="A248" s="31" t="s">
        <v>142</v>
      </c>
      <c r="D248" s="42" t="s">
        <v>108</v>
      </c>
      <c r="E248" s="33">
        <v>453668.91</v>
      </c>
      <c r="F248" s="33">
        <f>366559.93+11730.48</f>
        <v>378290.41</v>
      </c>
      <c r="G248" s="42"/>
      <c r="H248" s="33">
        <v>453668.91</v>
      </c>
    </row>
    <row r="249" spans="1:8" ht="14.25">
      <c r="A249" s="31" t="s">
        <v>198</v>
      </c>
      <c r="D249" s="42" t="s">
        <v>108</v>
      </c>
      <c r="E249" s="33">
        <f>446744.38+36000</f>
        <v>482744.38</v>
      </c>
      <c r="F249" s="33">
        <v>469317.42</v>
      </c>
      <c r="G249" s="42"/>
      <c r="H249" s="33">
        <f>446744.38+36000</f>
        <v>482744.38</v>
      </c>
    </row>
    <row r="250" spans="1:8" ht="18" customHeight="1" thickBot="1">
      <c r="A250" s="12" t="s">
        <v>130</v>
      </c>
      <c r="B250" s="12"/>
      <c r="C250" s="12"/>
      <c r="D250" s="23" t="s">
        <v>108</v>
      </c>
      <c r="E250" s="13">
        <f>SUM(E248:E249)</f>
        <v>936413.29</v>
      </c>
      <c r="F250" s="13">
        <f>SUM(F248:F249)</f>
        <v>847607.83</v>
      </c>
      <c r="G250" s="23"/>
      <c r="H250" s="13">
        <f>SUM(H248:H249)</f>
        <v>936413.29</v>
      </c>
    </row>
    <row r="251" spans="1:8" ht="14.25">
      <c r="A251" s="112"/>
      <c r="B251" s="112"/>
      <c r="C251" s="112"/>
      <c r="D251" s="113"/>
      <c r="E251" s="112"/>
      <c r="F251" s="114" t="s">
        <v>226</v>
      </c>
      <c r="G251" s="114"/>
      <c r="H251" s="114"/>
    </row>
    <row r="252" ht="15">
      <c r="A252" s="9"/>
    </row>
    <row r="253" ht="20.25" customHeight="1">
      <c r="A253" s="9" t="s">
        <v>150</v>
      </c>
    </row>
    <row r="254" spans="1:13" ht="53.25" customHeight="1">
      <c r="A254" s="138" t="s">
        <v>291</v>
      </c>
      <c r="B254" s="138"/>
      <c r="C254" s="138"/>
      <c r="D254" s="138"/>
      <c r="E254" s="138"/>
      <c r="F254" s="138"/>
      <c r="G254" s="144"/>
      <c r="H254" s="144"/>
      <c r="J254" s="145"/>
      <c r="K254" s="145"/>
      <c r="L254" s="145"/>
      <c r="M254" s="145"/>
    </row>
    <row r="255" spans="1:8" ht="15" customHeight="1">
      <c r="A255" s="47"/>
      <c r="B255" s="47"/>
      <c r="C255" s="47"/>
      <c r="D255" s="47"/>
      <c r="E255" s="47"/>
      <c r="F255" s="47"/>
      <c r="G255" s="47"/>
      <c r="H255" s="47"/>
    </row>
    <row r="256" spans="1:8" ht="18" customHeight="1">
      <c r="A256" s="9" t="s">
        <v>151</v>
      </c>
      <c r="B256" s="47"/>
      <c r="C256" s="47"/>
      <c r="D256" s="47"/>
      <c r="E256" s="47"/>
      <c r="F256" s="47"/>
      <c r="G256" s="47"/>
      <c r="H256" s="47"/>
    </row>
    <row r="257" spans="1:19" ht="15">
      <c r="A257" s="26" t="s">
        <v>216</v>
      </c>
      <c r="B257" s="10" t="s">
        <v>131</v>
      </c>
      <c r="C257" s="10"/>
      <c r="D257" s="10" t="s">
        <v>132</v>
      </c>
      <c r="E257" s="10"/>
      <c r="F257" s="10" t="s">
        <v>133</v>
      </c>
      <c r="G257" s="10"/>
      <c r="H257" s="10" t="s">
        <v>134</v>
      </c>
      <c r="M257" s="10"/>
      <c r="N257" s="10"/>
      <c r="O257" s="10"/>
      <c r="P257" s="10"/>
      <c r="S257" s="10"/>
    </row>
    <row r="258" spans="17:18" ht="15">
      <c r="Q258" s="10"/>
      <c r="R258" s="10"/>
    </row>
    <row r="259" spans="2:19" ht="14.25">
      <c r="B259" s="42" t="s">
        <v>108</v>
      </c>
      <c r="D259" s="42" t="s">
        <v>108</v>
      </c>
      <c r="F259" s="42" t="s">
        <v>108</v>
      </c>
      <c r="H259" s="42" t="s">
        <v>108</v>
      </c>
      <c r="M259" s="42"/>
      <c r="O259" s="42"/>
      <c r="S259" s="42"/>
    </row>
    <row r="260" spans="1:19" ht="14.25">
      <c r="A260" s="31" t="s">
        <v>224</v>
      </c>
      <c r="B260" s="33">
        <v>1128988.06</v>
      </c>
      <c r="C260" s="33" t="s">
        <v>226</v>
      </c>
      <c r="D260" s="33">
        <v>320152.96</v>
      </c>
      <c r="E260" s="33" t="s">
        <v>226</v>
      </c>
      <c r="F260" s="33">
        <v>4744785.15</v>
      </c>
      <c r="G260" s="33"/>
      <c r="H260" s="33">
        <f>SUM(B260:F260)</f>
        <v>6193926.17</v>
      </c>
      <c r="M260" s="33"/>
      <c r="N260" s="33"/>
      <c r="O260" s="33"/>
      <c r="P260" s="33"/>
      <c r="Q260" s="42"/>
      <c r="S260" s="33"/>
    </row>
    <row r="261" spans="1:19" ht="14.25">
      <c r="A261" s="31" t="s">
        <v>217</v>
      </c>
      <c r="B261" s="33">
        <v>96289.13</v>
      </c>
      <c r="C261" s="33"/>
      <c r="D261" s="33">
        <v>6258.05</v>
      </c>
      <c r="E261" s="33"/>
      <c r="F261" s="33">
        <v>0</v>
      </c>
      <c r="G261" s="33"/>
      <c r="H261" s="33">
        <f>SUM(B261:F261)</f>
        <v>102547.18000000001</v>
      </c>
      <c r="M261" s="33"/>
      <c r="N261" s="33"/>
      <c r="O261" s="33"/>
      <c r="P261" s="33"/>
      <c r="Q261" s="33"/>
      <c r="R261" s="33"/>
      <c r="S261" s="33"/>
    </row>
    <row r="262" spans="1:19" ht="14.25">
      <c r="A262" s="31" t="s">
        <v>218</v>
      </c>
      <c r="B262" s="33">
        <f>SUM(B260:B261)</f>
        <v>1225277.19</v>
      </c>
      <c r="C262" s="33">
        <f>SUM(C260:C261)</f>
        <v>0</v>
      </c>
      <c r="D262" s="33">
        <f>SUM(D260:D261)</f>
        <v>326411.01</v>
      </c>
      <c r="E262" s="33">
        <f>SUM(E260:E261)</f>
        <v>0</v>
      </c>
      <c r="F262" s="33">
        <f>SUM(F260:F261)</f>
        <v>4744785.15</v>
      </c>
      <c r="G262" s="33"/>
      <c r="H262" s="33">
        <f>SUM(B262:F262)</f>
        <v>6296473.350000001</v>
      </c>
      <c r="M262" s="33"/>
      <c r="N262" s="33"/>
      <c r="O262" s="33"/>
      <c r="P262" s="33"/>
      <c r="Q262" s="33"/>
      <c r="R262" s="33"/>
      <c r="S262" s="33"/>
    </row>
    <row r="263" spans="2:19" ht="14.25">
      <c r="B263" s="33"/>
      <c r="C263" s="33"/>
      <c r="D263" s="33"/>
      <c r="E263" s="33"/>
      <c r="F263" s="33"/>
      <c r="G263" s="33"/>
      <c r="H263" s="33"/>
      <c r="M263" s="33"/>
      <c r="N263" s="33"/>
      <c r="O263" s="33"/>
      <c r="P263" s="33"/>
      <c r="Q263" s="33"/>
      <c r="R263" s="33"/>
      <c r="S263" s="33"/>
    </row>
    <row r="264" spans="1:19" ht="14.25">
      <c r="A264" s="31" t="s">
        <v>149</v>
      </c>
      <c r="B264" s="33"/>
      <c r="C264" s="33"/>
      <c r="D264" s="33"/>
      <c r="E264" s="33"/>
      <c r="F264" s="33"/>
      <c r="G264" s="33"/>
      <c r="H264" s="33"/>
      <c r="M264" s="33"/>
      <c r="N264" s="33"/>
      <c r="O264" s="33"/>
      <c r="P264" s="33"/>
      <c r="Q264" s="33"/>
      <c r="R264" s="33"/>
      <c r="S264" s="33"/>
    </row>
    <row r="265" spans="1:19" ht="14.25">
      <c r="A265" s="31" t="s">
        <v>219</v>
      </c>
      <c r="B265" s="33">
        <v>525049.06</v>
      </c>
      <c r="C265" s="33"/>
      <c r="D265" s="33">
        <v>144694.96</v>
      </c>
      <c r="E265" s="33"/>
      <c r="F265" s="33">
        <v>4053916.15</v>
      </c>
      <c r="G265" s="33"/>
      <c r="H265" s="33">
        <f>SUM(B265:F265)</f>
        <v>4723660.17</v>
      </c>
      <c r="M265" s="33"/>
      <c r="N265" s="33"/>
      <c r="O265" s="33"/>
      <c r="P265" s="33"/>
      <c r="Q265" s="33"/>
      <c r="R265" s="33"/>
      <c r="S265" s="33"/>
    </row>
    <row r="266" spans="1:19" ht="14.25">
      <c r="A266" s="31" t="s">
        <v>220</v>
      </c>
      <c r="B266" s="33">
        <v>210628.13</v>
      </c>
      <c r="C266" s="33"/>
      <c r="D266" s="33">
        <v>35522.05</v>
      </c>
      <c r="E266" s="33"/>
      <c r="F266" s="33">
        <v>145273</v>
      </c>
      <c r="G266" s="33"/>
      <c r="H266" s="33">
        <f>SUM(B266:F266)</f>
        <v>391423.18</v>
      </c>
      <c r="M266" s="33"/>
      <c r="N266" s="33"/>
      <c r="O266" s="33"/>
      <c r="P266" s="33"/>
      <c r="Q266" s="33"/>
      <c r="R266" s="33"/>
      <c r="S266" s="33"/>
    </row>
    <row r="267" spans="2:19" ht="14.25">
      <c r="B267" s="33"/>
      <c r="C267" s="33"/>
      <c r="D267" s="33"/>
      <c r="E267" s="33"/>
      <c r="F267" s="33"/>
      <c r="G267" s="33"/>
      <c r="H267" s="33"/>
      <c r="M267" s="33"/>
      <c r="N267" s="33"/>
      <c r="O267" s="33"/>
      <c r="P267" s="33"/>
      <c r="Q267" s="33"/>
      <c r="R267" s="33"/>
      <c r="S267" s="33"/>
    </row>
    <row r="268" spans="1:19" ht="14.25">
      <c r="A268" s="31" t="s">
        <v>221</v>
      </c>
      <c r="B268" s="33">
        <f>SUM(B265:B267)</f>
        <v>735677.1900000001</v>
      </c>
      <c r="C268" s="33">
        <f>SUM(C265:C266)</f>
        <v>0</v>
      </c>
      <c r="D268" s="33">
        <f>SUM(D265:D267)</f>
        <v>180217.01</v>
      </c>
      <c r="E268" s="33">
        <f>SUM(E265:E266)</f>
        <v>0</v>
      </c>
      <c r="F268" s="33">
        <f>SUM(F265:F267)</f>
        <v>4199189.15</v>
      </c>
      <c r="G268" s="33"/>
      <c r="H268" s="33">
        <f>SUM(B268:F268)</f>
        <v>5115083.350000001</v>
      </c>
      <c r="M268" s="33"/>
      <c r="N268" s="33"/>
      <c r="O268" s="33"/>
      <c r="P268" s="33"/>
      <c r="Q268" s="33"/>
      <c r="R268" s="33"/>
      <c r="S268" s="33"/>
    </row>
    <row r="269" spans="2:19" ht="14.25">
      <c r="B269" s="33"/>
      <c r="C269" s="33"/>
      <c r="D269" s="33"/>
      <c r="E269" s="33"/>
      <c r="F269" s="33"/>
      <c r="G269" s="33"/>
      <c r="H269" s="33"/>
      <c r="M269" s="33"/>
      <c r="N269" s="33"/>
      <c r="O269" s="33"/>
      <c r="P269" s="33"/>
      <c r="Q269" s="33"/>
      <c r="R269" s="33"/>
      <c r="S269" s="33"/>
    </row>
    <row r="270" spans="2:19" ht="14.25">
      <c r="B270" s="33"/>
      <c r="C270" s="33"/>
      <c r="D270" s="33"/>
      <c r="E270" s="33"/>
      <c r="F270" s="33"/>
      <c r="G270" s="33"/>
      <c r="H270" s="33"/>
      <c r="M270" s="33"/>
      <c r="N270" s="33"/>
      <c r="O270" s="33"/>
      <c r="P270" s="33"/>
      <c r="Q270" s="33"/>
      <c r="R270" s="33"/>
      <c r="S270" s="33"/>
    </row>
    <row r="271" spans="1:19" ht="15">
      <c r="A271" s="31" t="s">
        <v>222</v>
      </c>
      <c r="B271" s="33">
        <f aca="true" t="shared" si="2" ref="B271:H271">B260-B265</f>
        <v>603939</v>
      </c>
      <c r="C271" s="33" t="e">
        <f t="shared" si="2"/>
        <v>#VALUE!</v>
      </c>
      <c r="D271" s="33">
        <f t="shared" si="2"/>
        <v>175458.00000000003</v>
      </c>
      <c r="E271" s="33" t="e">
        <f t="shared" si="2"/>
        <v>#VALUE!</v>
      </c>
      <c r="F271" s="33">
        <f t="shared" si="2"/>
        <v>690869.0000000005</v>
      </c>
      <c r="G271" s="33">
        <f t="shared" si="2"/>
        <v>0</v>
      </c>
      <c r="H271" s="33">
        <f t="shared" si="2"/>
        <v>1470266</v>
      </c>
      <c r="L271" s="9"/>
      <c r="M271" s="11"/>
      <c r="N271" s="11"/>
      <c r="O271" s="11"/>
      <c r="P271" s="11"/>
      <c r="Q271" s="33"/>
      <c r="R271" s="33"/>
      <c r="S271" s="11"/>
    </row>
    <row r="272" spans="1:19" ht="15">
      <c r="A272" s="9" t="s">
        <v>223</v>
      </c>
      <c r="B272" s="11">
        <f>SUM(B262-B268)</f>
        <v>489599.9999999999</v>
      </c>
      <c r="C272" s="11">
        <f>SUM(C262-C268)</f>
        <v>0</v>
      </c>
      <c r="D272" s="11">
        <f>SUM(D262-D268)</f>
        <v>146194</v>
      </c>
      <c r="E272" s="11">
        <f>SUM(E262-E268)</f>
        <v>0</v>
      </c>
      <c r="F272" s="11">
        <f>SUM(F262-F268)</f>
        <v>545596</v>
      </c>
      <c r="G272" s="11"/>
      <c r="H272" s="11">
        <f>SUM(H262-H268)</f>
        <v>1181390</v>
      </c>
      <c r="J272" s="59"/>
      <c r="M272" s="33"/>
      <c r="N272" s="33"/>
      <c r="O272" s="33"/>
      <c r="P272" s="33"/>
      <c r="Q272" s="11"/>
      <c r="R272" s="11"/>
      <c r="S272" s="33"/>
    </row>
    <row r="273" spans="2:18" ht="14.25">
      <c r="B273" s="33"/>
      <c r="C273" s="33"/>
      <c r="D273" s="33"/>
      <c r="E273" s="33"/>
      <c r="F273" s="33"/>
      <c r="G273" s="33"/>
      <c r="H273" s="33" t="s">
        <v>226</v>
      </c>
      <c r="Q273" s="33"/>
      <c r="R273" s="33"/>
    </row>
    <row r="274" ht="14.25"/>
    <row r="275" ht="22.5" customHeight="1">
      <c r="A275" s="9"/>
    </row>
    <row r="276" spans="1:8" ht="16.5" customHeight="1">
      <c r="A276" s="31" t="s">
        <v>262</v>
      </c>
      <c r="B276" s="10" t="s">
        <v>131</v>
      </c>
      <c r="C276" s="10"/>
      <c r="D276" s="10" t="s">
        <v>132</v>
      </c>
      <c r="E276" s="10"/>
      <c r="F276" s="10" t="s">
        <v>133</v>
      </c>
      <c r="G276" s="10"/>
      <c r="H276" s="10" t="s">
        <v>134</v>
      </c>
    </row>
    <row r="277" ht="16.5" customHeight="1"/>
    <row r="278" spans="2:10" ht="18" customHeight="1">
      <c r="B278" s="42" t="s">
        <v>108</v>
      </c>
      <c r="D278" s="42" t="s">
        <v>108</v>
      </c>
      <c r="F278" s="42" t="s">
        <v>108</v>
      </c>
      <c r="H278" s="42" t="s">
        <v>108</v>
      </c>
      <c r="J278" s="115"/>
    </row>
    <row r="279" spans="1:8" ht="16.5" customHeight="1">
      <c r="A279" s="31" t="s">
        <v>263</v>
      </c>
      <c r="B279" s="33">
        <f>B262</f>
        <v>1225277.19</v>
      </c>
      <c r="C279" s="33">
        <f>C262</f>
        <v>0</v>
      </c>
      <c r="D279" s="33">
        <f>D262</f>
        <v>326411.01</v>
      </c>
      <c r="E279" s="33">
        <f>E262</f>
        <v>0</v>
      </c>
      <c r="F279" s="33">
        <f>F262</f>
        <v>4744785.15</v>
      </c>
      <c r="G279" s="33">
        <f>G268</f>
        <v>0</v>
      </c>
      <c r="H279" s="33">
        <f>SUM(B279:G279)</f>
        <v>6296473.350000001</v>
      </c>
    </row>
    <row r="280" spans="1:10" ht="16.5" customHeight="1">
      <c r="A280" s="31" t="s">
        <v>264</v>
      </c>
      <c r="B280" s="38">
        <v>71314.93</v>
      </c>
      <c r="C280" s="38"/>
      <c r="D280" s="38">
        <v>17699.4</v>
      </c>
      <c r="E280" s="38"/>
      <c r="F280" s="38">
        <v>968972.19</v>
      </c>
      <c r="G280" s="33"/>
      <c r="H280" s="33">
        <f>B280+D280+F280</f>
        <v>1057986.52</v>
      </c>
      <c r="J280" s="116"/>
    </row>
    <row r="281" spans="1:10" ht="16.5" customHeight="1">
      <c r="A281" s="31" t="s">
        <v>265</v>
      </c>
      <c r="B281" s="38">
        <f>B279+B280</f>
        <v>1296592.1199999999</v>
      </c>
      <c r="C281" s="38">
        <f aca="true" t="shared" si="3" ref="C281:H281">C279+C280</f>
        <v>0</v>
      </c>
      <c r="D281" s="38">
        <f t="shared" si="3"/>
        <v>344110.41000000003</v>
      </c>
      <c r="E281" s="38">
        <f t="shared" si="3"/>
        <v>0</v>
      </c>
      <c r="F281" s="38">
        <f t="shared" si="3"/>
        <v>5713757.34</v>
      </c>
      <c r="G281" s="33">
        <f t="shared" si="3"/>
        <v>0</v>
      </c>
      <c r="H281" s="33">
        <f t="shared" si="3"/>
        <v>7354459.870000001</v>
      </c>
      <c r="J281" s="116"/>
    </row>
    <row r="282" spans="2:10" ht="16.5" customHeight="1">
      <c r="B282" s="38"/>
      <c r="C282" s="38"/>
      <c r="D282" s="38"/>
      <c r="E282" s="38"/>
      <c r="F282" s="38"/>
      <c r="G282" s="33"/>
      <c r="H282" s="33"/>
      <c r="J282" s="116"/>
    </row>
    <row r="283" spans="1:10" ht="16.5" customHeight="1">
      <c r="A283" s="31" t="s">
        <v>149</v>
      </c>
      <c r="B283" s="38" t="s">
        <v>226</v>
      </c>
      <c r="C283" s="38"/>
      <c r="D283" s="38"/>
      <c r="E283" s="38"/>
      <c r="F283" s="38"/>
      <c r="G283" s="33"/>
      <c r="H283" s="33"/>
      <c r="J283" s="116"/>
    </row>
    <row r="284" spans="1:10" ht="16.5" customHeight="1">
      <c r="A284" s="31" t="s">
        <v>266</v>
      </c>
      <c r="B284" s="38">
        <f>B268</f>
        <v>735677.1900000001</v>
      </c>
      <c r="C284" s="38">
        <f>C268</f>
        <v>0</v>
      </c>
      <c r="D284" s="38">
        <f>D268</f>
        <v>180217.01</v>
      </c>
      <c r="E284" s="38">
        <f>E268</f>
        <v>0</v>
      </c>
      <c r="F284" s="38">
        <f>F268</f>
        <v>4199189.15</v>
      </c>
      <c r="G284" s="33"/>
      <c r="H284" s="33">
        <f>SUM(B284:F284)</f>
        <v>5115083.350000001</v>
      </c>
      <c r="J284" s="116"/>
    </row>
    <row r="285" spans="1:10" ht="16.5" customHeight="1">
      <c r="A285" s="31" t="s">
        <v>267</v>
      </c>
      <c r="B285" s="38">
        <v>136154.93</v>
      </c>
      <c r="C285" s="38">
        <f>C266</f>
        <v>0</v>
      </c>
      <c r="D285" s="38">
        <v>19939.4</v>
      </c>
      <c r="E285" s="38">
        <f>E266</f>
        <v>0</v>
      </c>
      <c r="F285" s="38">
        <v>151597.19</v>
      </c>
      <c r="G285" s="33"/>
      <c r="H285" s="33">
        <f>B285+D285+F285</f>
        <v>307691.52</v>
      </c>
      <c r="J285" s="116"/>
    </row>
    <row r="286" spans="1:10" ht="16.5" customHeight="1">
      <c r="A286" s="31" t="s">
        <v>268</v>
      </c>
      <c r="B286" s="38">
        <f>B284+B285</f>
        <v>871832.1200000001</v>
      </c>
      <c r="C286" s="38">
        <f aca="true" t="shared" si="4" ref="C286:H286">C284+C285</f>
        <v>0</v>
      </c>
      <c r="D286" s="38">
        <f>D284+D285</f>
        <v>200156.41</v>
      </c>
      <c r="E286" s="38">
        <f t="shared" si="4"/>
        <v>0</v>
      </c>
      <c r="F286" s="38">
        <f>F284+F285</f>
        <v>4350786.340000001</v>
      </c>
      <c r="G286" s="33">
        <f t="shared" si="4"/>
        <v>0</v>
      </c>
      <c r="H286" s="33">
        <f t="shared" si="4"/>
        <v>5422774.870000001</v>
      </c>
      <c r="J286" s="116"/>
    </row>
    <row r="287" spans="2:10" ht="16.5" customHeight="1">
      <c r="B287" s="38"/>
      <c r="C287" s="38"/>
      <c r="D287" s="38"/>
      <c r="E287" s="38"/>
      <c r="F287" s="38"/>
      <c r="G287" s="33"/>
      <c r="H287" s="33"/>
      <c r="J287" s="116"/>
    </row>
    <row r="288" spans="2:8" ht="16.5" customHeight="1">
      <c r="B288" s="38"/>
      <c r="C288" s="38"/>
      <c r="D288" s="38"/>
      <c r="E288" s="38"/>
      <c r="F288" s="38"/>
      <c r="G288" s="33"/>
      <c r="H288" s="33"/>
    </row>
    <row r="289" spans="1:19" ht="16.5" customHeight="1">
      <c r="A289" s="31" t="s">
        <v>269</v>
      </c>
      <c r="B289" s="38">
        <f>B272</f>
        <v>489599.9999999999</v>
      </c>
      <c r="C289" s="38"/>
      <c r="D289" s="38">
        <f>D272</f>
        <v>146194</v>
      </c>
      <c r="E289" s="38"/>
      <c r="F289" s="38">
        <f>F272</f>
        <v>545596</v>
      </c>
      <c r="G289" s="33"/>
      <c r="H289" s="33">
        <f>B289+D289+F289</f>
        <v>1181390</v>
      </c>
      <c r="J289" s="33"/>
      <c r="L289" s="33"/>
      <c r="N289" s="117"/>
      <c r="O289" s="117"/>
      <c r="P289" s="117"/>
      <c r="Q289" s="117"/>
      <c r="R289" s="117"/>
      <c r="S289" s="117"/>
    </row>
    <row r="290" spans="1:19" ht="16.5" customHeight="1" thickBot="1">
      <c r="A290" s="24" t="s">
        <v>270</v>
      </c>
      <c r="B290" s="118">
        <f>B281-B286</f>
        <v>424759.99999999977</v>
      </c>
      <c r="C290" s="118">
        <f aca="true" t="shared" si="5" ref="C290:H290">C281-C286</f>
        <v>0</v>
      </c>
      <c r="D290" s="118">
        <f t="shared" si="5"/>
        <v>143954.00000000003</v>
      </c>
      <c r="E290" s="118">
        <f t="shared" si="5"/>
        <v>0</v>
      </c>
      <c r="F290" s="118">
        <f t="shared" si="5"/>
        <v>1362970.999999999</v>
      </c>
      <c r="G290" s="28">
        <f t="shared" si="5"/>
        <v>0</v>
      </c>
      <c r="H290" s="28">
        <f t="shared" si="5"/>
        <v>1931685</v>
      </c>
      <c r="N290" s="117"/>
      <c r="O290" s="117"/>
      <c r="P290" s="117"/>
      <c r="Q290" s="117"/>
      <c r="R290" s="117"/>
      <c r="S290" s="117"/>
    </row>
    <row r="291" spans="2:21" ht="16.5" customHeight="1">
      <c r="B291" s="33"/>
      <c r="C291" s="33"/>
      <c r="D291" s="33"/>
      <c r="E291" s="33"/>
      <c r="F291" s="33"/>
      <c r="H291" s="119"/>
      <c r="N291" s="120"/>
      <c r="O291" s="120"/>
      <c r="P291" s="121"/>
      <c r="Q291" s="122"/>
      <c r="R291" s="122"/>
      <c r="S291" s="122"/>
      <c r="T291" s="120"/>
      <c r="U291" s="120"/>
    </row>
    <row r="292" spans="1:8" ht="66" customHeight="1">
      <c r="A292" s="139" t="s">
        <v>229</v>
      </c>
      <c r="B292" s="135"/>
      <c r="C292" s="135"/>
      <c r="D292" s="135"/>
      <c r="E292" s="135"/>
      <c r="F292" s="135"/>
      <c r="G292" s="135"/>
      <c r="H292" s="135"/>
    </row>
    <row r="293" spans="1:8" ht="16.5" customHeight="1">
      <c r="A293" s="47"/>
      <c r="B293" s="47"/>
      <c r="C293" s="47"/>
      <c r="D293" s="47"/>
      <c r="E293" s="47"/>
      <c r="F293" s="47"/>
      <c r="G293" s="47"/>
      <c r="H293" s="47"/>
    </row>
    <row r="294" spans="1:8" ht="14.25">
      <c r="A294" s="47"/>
      <c r="B294" s="47"/>
      <c r="C294" s="47"/>
      <c r="D294" s="47"/>
      <c r="E294" s="47"/>
      <c r="F294" s="47"/>
      <c r="G294" s="47"/>
      <c r="H294" s="47"/>
    </row>
    <row r="295" spans="1:8" ht="15">
      <c r="A295" s="9" t="s">
        <v>152</v>
      </c>
      <c r="F295" s="22">
        <v>45291</v>
      </c>
      <c r="H295" s="22">
        <v>44926</v>
      </c>
    </row>
    <row r="296" spans="1:8" ht="14.25">
      <c r="A296" s="31" t="s">
        <v>166</v>
      </c>
      <c r="D296" s="42" t="s">
        <v>108</v>
      </c>
      <c r="E296" s="42"/>
      <c r="F296" s="33">
        <v>4000</v>
      </c>
      <c r="G296" s="42"/>
      <c r="H296" s="33">
        <v>4000</v>
      </c>
    </row>
    <row r="297" spans="1:8" ht="14.25">
      <c r="A297" s="31" t="s">
        <v>135</v>
      </c>
      <c r="D297" s="42" t="s">
        <v>108</v>
      </c>
      <c r="E297" s="42"/>
      <c r="F297" s="33">
        <v>25000</v>
      </c>
      <c r="G297" s="42"/>
      <c r="H297" s="33">
        <v>25000</v>
      </c>
    </row>
    <row r="298" spans="1:8" ht="14.25">
      <c r="A298" s="31" t="s">
        <v>271</v>
      </c>
      <c r="D298" s="42" t="s">
        <v>108</v>
      </c>
      <c r="E298" s="42"/>
      <c r="F298" s="33">
        <v>507756</v>
      </c>
      <c r="G298" s="42"/>
      <c r="H298" s="33">
        <v>0</v>
      </c>
    </row>
    <row r="299" spans="1:8" ht="15.75" thickBot="1">
      <c r="A299" s="12" t="s">
        <v>136</v>
      </c>
      <c r="B299" s="75"/>
      <c r="C299" s="75"/>
      <c r="D299" s="23" t="s">
        <v>108</v>
      </c>
      <c r="E299" s="23"/>
      <c r="F299" s="13">
        <f>SUM(F296:F298)</f>
        <v>536756</v>
      </c>
      <c r="G299" s="23"/>
      <c r="H299" s="13">
        <f>SUM(H296:H297)</f>
        <v>29000</v>
      </c>
    </row>
    <row r="300" spans="2:8" ht="14.25">
      <c r="B300" s="33"/>
      <c r="C300" s="33"/>
      <c r="D300" s="33"/>
      <c r="E300" s="33"/>
      <c r="F300" s="33"/>
      <c r="H300" s="119"/>
    </row>
    <row r="301" spans="1:8" ht="39.75" customHeight="1">
      <c r="A301" s="142" t="s">
        <v>177</v>
      </c>
      <c r="B301" s="142"/>
      <c r="C301" s="142"/>
      <c r="D301" s="142"/>
      <c r="E301" s="142"/>
      <c r="F301" s="142"/>
      <c r="G301" s="142"/>
      <c r="H301" s="142"/>
    </row>
    <row r="302" spans="1:8" ht="51.75" customHeight="1">
      <c r="A302" s="142" t="s">
        <v>272</v>
      </c>
      <c r="B302" s="142"/>
      <c r="C302" s="142"/>
      <c r="D302" s="142"/>
      <c r="E302" s="142"/>
      <c r="F302" s="142"/>
      <c r="G302" s="142"/>
      <c r="H302" s="142"/>
    </row>
    <row r="303" spans="1:16" ht="56.25" customHeight="1">
      <c r="A303" s="143" t="s">
        <v>273</v>
      </c>
      <c r="B303" s="143"/>
      <c r="C303" s="143"/>
      <c r="D303" s="143"/>
      <c r="E303" s="143"/>
      <c r="F303" s="143"/>
      <c r="G303" s="143"/>
      <c r="H303" s="143"/>
      <c r="O303" s="130"/>
      <c r="P303" s="130"/>
    </row>
    <row r="304" ht="14.25"/>
    <row r="305" spans="1:8" ht="18" customHeight="1">
      <c r="A305" s="9" t="s">
        <v>202</v>
      </c>
      <c r="F305" s="22">
        <v>45291</v>
      </c>
      <c r="H305" s="22">
        <v>44926</v>
      </c>
    </row>
    <row r="306" spans="1:8" ht="21" customHeight="1">
      <c r="A306" s="31" t="s">
        <v>181</v>
      </c>
      <c r="C306" s="42"/>
      <c r="D306" s="42" t="s">
        <v>108</v>
      </c>
      <c r="E306" s="42"/>
      <c r="F306" s="33">
        <v>13831.1</v>
      </c>
      <c r="G306" s="42"/>
      <c r="H306" s="33">
        <v>14495.5</v>
      </c>
    </row>
    <row r="307" spans="1:8" ht="18.75" customHeight="1">
      <c r="A307" s="31" t="s">
        <v>145</v>
      </c>
      <c r="C307" s="42"/>
      <c r="D307" s="42" t="s">
        <v>108</v>
      </c>
      <c r="E307" s="42"/>
      <c r="F307" s="33">
        <f>417122+49645.28+2920</f>
        <v>469687.28</v>
      </c>
      <c r="G307" s="42"/>
      <c r="H307" s="33">
        <v>403546.89</v>
      </c>
    </row>
    <row r="308" spans="1:8" ht="21.75" customHeight="1" thickBot="1">
      <c r="A308" s="12" t="s">
        <v>144</v>
      </c>
      <c r="B308" s="12"/>
      <c r="C308" s="23"/>
      <c r="D308" s="23" t="s">
        <v>108</v>
      </c>
      <c r="E308" s="23"/>
      <c r="F308" s="13">
        <f>SUM(F306:F307)</f>
        <v>483518.38</v>
      </c>
      <c r="G308" s="23"/>
      <c r="H308" s="13">
        <f>SUM(H306:H307)</f>
        <v>418042.39</v>
      </c>
    </row>
    <row r="309" spans="1:8" ht="14.25">
      <c r="A309" s="31" t="s">
        <v>274</v>
      </c>
      <c r="B309" s="42"/>
      <c r="F309" s="123" t="s">
        <v>226</v>
      </c>
      <c r="G309" s="123">
        <f>G308-E31</f>
        <v>0</v>
      </c>
      <c r="H309" s="123" t="s">
        <v>226</v>
      </c>
    </row>
    <row r="310" ht="14.25">
      <c r="B310" s="42"/>
    </row>
    <row r="311" ht="15">
      <c r="A311" s="35" t="s">
        <v>230</v>
      </c>
    </row>
    <row r="312" spans="1:8" ht="78.75" customHeight="1">
      <c r="A312" s="142" t="s">
        <v>289</v>
      </c>
      <c r="B312" s="142"/>
      <c r="C312" s="142"/>
      <c r="D312" s="142"/>
      <c r="E312" s="142"/>
      <c r="F312" s="142"/>
      <c r="G312" s="142"/>
      <c r="H312" s="142"/>
    </row>
    <row r="313" ht="13.5" customHeight="1">
      <c r="B313" s="42"/>
    </row>
    <row r="314" ht="13.5" customHeight="1"/>
    <row r="315" ht="15">
      <c r="A315" s="9" t="s">
        <v>203</v>
      </c>
    </row>
    <row r="316" spans="6:8" ht="15">
      <c r="F316" s="22">
        <v>45291</v>
      </c>
      <c r="H316" s="22">
        <v>44926</v>
      </c>
    </row>
    <row r="317" spans="1:8" ht="15" customHeight="1">
      <c r="A317" s="31" t="s">
        <v>109</v>
      </c>
      <c r="D317" s="42" t="s">
        <v>108</v>
      </c>
      <c r="E317" s="42"/>
      <c r="F317" s="33">
        <v>37737.9</v>
      </c>
      <c r="G317" s="42"/>
      <c r="H317" s="33">
        <f>'[1]JR22_DE V2 mit Infos'!F304</f>
        <v>38237.9</v>
      </c>
    </row>
    <row r="318" spans="1:8" ht="14.25">
      <c r="A318" s="31" t="s">
        <v>138</v>
      </c>
      <c r="D318" s="42" t="s">
        <v>108</v>
      </c>
      <c r="E318" s="42"/>
      <c r="F318" s="33">
        <f>P167</f>
        <v>88005.62</v>
      </c>
      <c r="G318" s="42"/>
      <c r="H318" s="33">
        <f>'[1]JR22_DE V2 mit Infos'!F305</f>
        <v>88005.62</v>
      </c>
    </row>
    <row r="319" spans="1:8" ht="14.25">
      <c r="A319" s="31" t="s">
        <v>200</v>
      </c>
      <c r="D319" s="42" t="s">
        <v>108</v>
      </c>
      <c r="E319" s="42"/>
      <c r="F319" s="33">
        <f>P168</f>
        <v>47419.3</v>
      </c>
      <c r="G319" s="42"/>
      <c r="H319" s="33">
        <f>'[1]JR22_DE V2 mit Infos'!F306</f>
        <v>47419.3</v>
      </c>
    </row>
    <row r="320" spans="1:8" ht="14.25">
      <c r="A320" s="31" t="s">
        <v>287</v>
      </c>
      <c r="D320" s="42" t="s">
        <v>108</v>
      </c>
      <c r="E320" s="42"/>
      <c r="F320" s="33">
        <v>35834.16</v>
      </c>
      <c r="G320" s="42"/>
      <c r="H320" s="33">
        <v>0</v>
      </c>
    </row>
    <row r="321" spans="1:8" ht="15">
      <c r="A321" s="9" t="s">
        <v>137</v>
      </c>
      <c r="C321" s="9"/>
      <c r="D321" s="51"/>
      <c r="E321" s="51"/>
      <c r="F321" s="77"/>
      <c r="G321" s="51"/>
      <c r="H321" s="77"/>
    </row>
    <row r="322" spans="1:8" ht="15" customHeight="1" thickBot="1">
      <c r="A322" s="24" t="s">
        <v>71</v>
      </c>
      <c r="B322" s="24"/>
      <c r="C322" s="24"/>
      <c r="D322" s="25" t="s">
        <v>108</v>
      </c>
      <c r="E322" s="25"/>
      <c r="F322" s="28">
        <f>SUM(F317:F321)</f>
        <v>208996.98</v>
      </c>
      <c r="G322" s="25"/>
      <c r="H322" s="28">
        <f>SUM(H317:H321)</f>
        <v>173662.82</v>
      </c>
    </row>
    <row r="323" ht="33" customHeight="1"/>
    <row r="324" ht="15" customHeight="1">
      <c r="A324" s="21"/>
    </row>
    <row r="325" spans="1:8" ht="15">
      <c r="A325" s="124" t="s">
        <v>204</v>
      </c>
      <c r="B325" s="124"/>
      <c r="C325" s="124"/>
      <c r="D325" s="124"/>
      <c r="E325" s="124"/>
      <c r="F325" s="124"/>
      <c r="G325" s="124"/>
      <c r="H325" s="124"/>
    </row>
    <row r="326" spans="1:8" ht="56.25" customHeight="1">
      <c r="A326" s="139" t="s">
        <v>275</v>
      </c>
      <c r="B326" s="139"/>
      <c r="C326" s="139"/>
      <c r="D326" s="139"/>
      <c r="E326" s="139"/>
      <c r="F326" s="139"/>
      <c r="G326" s="139"/>
      <c r="H326" s="139"/>
    </row>
    <row r="327" ht="14.25">
      <c r="A327" s="21"/>
    </row>
    <row r="328" ht="14.25">
      <c r="A328" s="21"/>
    </row>
    <row r="329" spans="1:8" ht="18" customHeight="1">
      <c r="A329" s="140" t="s">
        <v>0</v>
      </c>
      <c r="B329" s="140"/>
      <c r="C329" s="140"/>
      <c r="D329" s="140"/>
      <c r="E329" s="140"/>
      <c r="F329" s="140"/>
      <c r="G329" s="140"/>
      <c r="H329" s="140"/>
    </row>
    <row r="330" ht="14.25">
      <c r="A330" s="21"/>
    </row>
    <row r="331" ht="14.25">
      <c r="A331" s="21"/>
    </row>
    <row r="332" spans="1:8" ht="15">
      <c r="A332" s="124" t="s">
        <v>205</v>
      </c>
      <c r="B332" s="124"/>
      <c r="C332" s="124"/>
      <c r="D332" s="124"/>
      <c r="E332" s="124"/>
      <c r="F332" s="124"/>
      <c r="G332" s="124"/>
      <c r="H332" s="124"/>
    </row>
    <row r="333" spans="1:8" ht="73.5" customHeight="1">
      <c r="A333" s="139" t="s">
        <v>290</v>
      </c>
      <c r="B333" s="139"/>
      <c r="C333" s="139"/>
      <c r="D333" s="139"/>
      <c r="E333" s="139"/>
      <c r="F333" s="139"/>
      <c r="G333" s="139"/>
      <c r="H333" s="139"/>
    </row>
    <row r="334" spans="1:6" ht="19.5" customHeight="1">
      <c r="A334" s="9"/>
      <c r="B334" s="10"/>
      <c r="D334" s="11"/>
      <c r="E334" s="11"/>
      <c r="F334" s="11"/>
    </row>
    <row r="335" spans="1:8" ht="19.5" customHeight="1">
      <c r="A335" s="9" t="s">
        <v>206</v>
      </c>
      <c r="B335" s="42"/>
      <c r="F335" s="9">
        <v>2023</v>
      </c>
      <c r="H335" s="9">
        <v>2022</v>
      </c>
    </row>
    <row r="336" spans="1:8" ht="14.25">
      <c r="A336" s="31" t="s">
        <v>182</v>
      </c>
      <c r="B336" s="42"/>
      <c r="D336" s="42" t="s">
        <v>108</v>
      </c>
      <c r="E336" s="42"/>
      <c r="F336" s="33">
        <v>3890238.4</v>
      </c>
      <c r="G336" s="42"/>
      <c r="H336" s="33">
        <v>3837881.6</v>
      </c>
    </row>
    <row r="337" spans="1:8" ht="14.25">
      <c r="A337" s="31" t="s">
        <v>185</v>
      </c>
      <c r="B337" s="42"/>
      <c r="D337" s="42" t="s">
        <v>108</v>
      </c>
      <c r="E337" s="42"/>
      <c r="F337" s="33">
        <v>0</v>
      </c>
      <c r="G337" s="131"/>
      <c r="H337" s="33">
        <v>0</v>
      </c>
    </row>
    <row r="338" spans="1:8" ht="14.25">
      <c r="A338" s="31" t="s">
        <v>183</v>
      </c>
      <c r="B338" s="42"/>
      <c r="D338" s="42" t="s">
        <v>108</v>
      </c>
      <c r="E338" s="42"/>
      <c r="F338" s="33">
        <v>534926.7</v>
      </c>
      <c r="G338" s="42"/>
      <c r="H338" s="33">
        <v>530205</v>
      </c>
    </row>
    <row r="339" spans="1:8" ht="15.75" thickBot="1">
      <c r="A339" s="12" t="s">
        <v>184</v>
      </c>
      <c r="B339" s="23"/>
      <c r="C339" s="75"/>
      <c r="D339" s="23" t="s">
        <v>108</v>
      </c>
      <c r="E339" s="23"/>
      <c r="F339" s="13">
        <f>SUM(F336:F338)</f>
        <v>4425165.1</v>
      </c>
      <c r="G339" s="23"/>
      <c r="H339" s="13">
        <f>SUM(H336:H338)</f>
        <v>4368086.6</v>
      </c>
    </row>
    <row r="340" spans="1:2" ht="15">
      <c r="A340" s="9"/>
      <c r="B340" s="10"/>
    </row>
    <row r="341" spans="1:10" ht="59.25" customHeight="1">
      <c r="A341" s="139" t="s">
        <v>276</v>
      </c>
      <c r="B341" s="139"/>
      <c r="C341" s="139"/>
      <c r="D341" s="139"/>
      <c r="E341" s="139"/>
      <c r="F341" s="139"/>
      <c r="G341" s="139"/>
      <c r="H341" s="139"/>
      <c r="J341" s="64"/>
    </row>
    <row r="342" ht="14.25" customHeight="1"/>
    <row r="343" spans="1:8" ht="15" customHeight="1">
      <c r="A343" s="124" t="s">
        <v>207</v>
      </c>
      <c r="B343" s="124"/>
      <c r="C343" s="124"/>
      <c r="D343" s="124"/>
      <c r="E343" s="124"/>
      <c r="F343" s="124"/>
      <c r="G343" s="124"/>
      <c r="H343" s="124"/>
    </row>
    <row r="344" spans="1:8" ht="117" customHeight="1">
      <c r="A344" s="139" t="s">
        <v>295</v>
      </c>
      <c r="B344" s="139"/>
      <c r="C344" s="139"/>
      <c r="D344" s="139"/>
      <c r="E344" s="139"/>
      <c r="F344" s="139"/>
      <c r="G344" s="139"/>
      <c r="H344" s="139"/>
    </row>
    <row r="345" ht="14.25">
      <c r="A345" s="62"/>
    </row>
    <row r="346" ht="15">
      <c r="A346" s="9" t="s">
        <v>208</v>
      </c>
    </row>
    <row r="347" spans="1:8" ht="15.75" customHeight="1">
      <c r="A347" s="31" t="s">
        <v>1</v>
      </c>
      <c r="F347" s="9">
        <v>2023</v>
      </c>
      <c r="H347" s="9">
        <v>2022</v>
      </c>
    </row>
    <row r="348" ht="6.75" customHeight="1">
      <c r="J348" s="21"/>
    </row>
    <row r="349" spans="1:10" ht="14.25">
      <c r="A349" s="31" t="s">
        <v>2</v>
      </c>
      <c r="D349" s="42" t="s">
        <v>108</v>
      </c>
      <c r="E349" s="42"/>
      <c r="F349" s="33">
        <v>1633570.36</v>
      </c>
      <c r="G349" s="42"/>
      <c r="H349" s="33">
        <v>1628999.88</v>
      </c>
      <c r="J349" s="21"/>
    </row>
    <row r="350" spans="1:10" ht="15" customHeight="1">
      <c r="A350" s="31" t="s">
        <v>167</v>
      </c>
      <c r="D350" s="42" t="s">
        <v>108</v>
      </c>
      <c r="E350" s="42"/>
      <c r="F350" s="33">
        <v>303985.3</v>
      </c>
      <c r="G350" s="42"/>
      <c r="H350" s="33">
        <v>280770.9</v>
      </c>
      <c r="J350" s="125"/>
    </row>
    <row r="351" spans="1:10" ht="14.25">
      <c r="A351" s="31" t="s">
        <v>154</v>
      </c>
      <c r="D351" s="42" t="s">
        <v>108</v>
      </c>
      <c r="E351" s="42"/>
      <c r="F351" s="33">
        <v>573243.02</v>
      </c>
      <c r="G351" s="42"/>
      <c r="H351" s="33">
        <v>479448.11</v>
      </c>
      <c r="J351" s="21"/>
    </row>
    <row r="352" spans="1:10" ht="14.25">
      <c r="A352" s="31" t="s">
        <v>168</v>
      </c>
      <c r="D352" s="42" t="s">
        <v>108</v>
      </c>
      <c r="E352" s="42"/>
      <c r="F352" s="33">
        <v>603135.5</v>
      </c>
      <c r="G352" s="42"/>
      <c r="H352" s="33">
        <v>603533</v>
      </c>
      <c r="J352" s="21"/>
    </row>
    <row r="353" spans="1:10" ht="14.25">
      <c r="A353" s="31" t="s">
        <v>3</v>
      </c>
      <c r="D353" s="42" t="s">
        <v>108</v>
      </c>
      <c r="E353" s="42"/>
      <c r="F353" s="33">
        <v>1736149.93</v>
      </c>
      <c r="G353" s="42"/>
      <c r="H353" s="33">
        <f>1700522.92+22409.02</f>
        <v>1722931.94</v>
      </c>
      <c r="J353" s="21"/>
    </row>
    <row r="354" spans="1:10" ht="13.5" customHeight="1">
      <c r="A354" s="31" t="s">
        <v>4</v>
      </c>
      <c r="D354" s="42" t="s">
        <v>108</v>
      </c>
      <c r="E354" s="42"/>
      <c r="F354" s="33">
        <v>1586989.6</v>
      </c>
      <c r="G354" s="42"/>
      <c r="H354" s="33">
        <v>1440154.29</v>
      </c>
      <c r="J354" s="21"/>
    </row>
    <row r="355" spans="1:10" ht="15" customHeight="1">
      <c r="A355" s="31" t="s">
        <v>5</v>
      </c>
      <c r="D355" s="42" t="s">
        <v>108</v>
      </c>
      <c r="E355" s="42"/>
      <c r="F355" s="33">
        <v>1030484.97</v>
      </c>
      <c r="G355" s="42"/>
      <c r="H355" s="33">
        <v>985603.52</v>
      </c>
      <c r="J355" s="21"/>
    </row>
    <row r="356" spans="1:10" ht="14.25">
      <c r="A356" s="31" t="s">
        <v>155</v>
      </c>
      <c r="D356" s="42" t="s">
        <v>108</v>
      </c>
      <c r="E356" s="42"/>
      <c r="F356" s="33">
        <v>49933.3</v>
      </c>
      <c r="G356" s="42"/>
      <c r="H356" s="33">
        <v>48722.05</v>
      </c>
      <c r="J356" s="21"/>
    </row>
    <row r="357" spans="1:10" ht="14.25">
      <c r="A357" s="31" t="s">
        <v>6</v>
      </c>
      <c r="D357" s="42" t="s">
        <v>108</v>
      </c>
      <c r="E357" s="42"/>
      <c r="F357" s="33">
        <v>617624.97</v>
      </c>
      <c r="G357" s="42"/>
      <c r="H357" s="33">
        <v>636630.37</v>
      </c>
      <c r="J357" s="21"/>
    </row>
    <row r="358" spans="1:10" ht="15.75" thickBot="1">
      <c r="A358" s="12" t="s">
        <v>7</v>
      </c>
      <c r="B358" s="12"/>
      <c r="C358" s="12"/>
      <c r="D358" s="23" t="s">
        <v>108</v>
      </c>
      <c r="E358" s="23"/>
      <c r="F358" s="13">
        <f>SUM(F349:F357)</f>
        <v>8135116.95</v>
      </c>
      <c r="G358" s="23"/>
      <c r="H358" s="13">
        <f>SUM(H349:H357)</f>
        <v>7826794.0600000005</v>
      </c>
      <c r="J358" s="33" t="s">
        <v>226</v>
      </c>
    </row>
    <row r="359" spans="4:11" ht="14.25">
      <c r="D359" s="42"/>
      <c r="F359" s="33"/>
      <c r="G359" s="33"/>
      <c r="H359" s="33"/>
      <c r="K359" s="33"/>
    </row>
    <row r="360" spans="1:10" ht="103.5" customHeight="1">
      <c r="A360" s="139" t="s">
        <v>294</v>
      </c>
      <c r="B360" s="139"/>
      <c r="C360" s="139"/>
      <c r="D360" s="139"/>
      <c r="E360" s="139"/>
      <c r="F360" s="139"/>
      <c r="G360" s="139"/>
      <c r="H360" s="139"/>
      <c r="J360" s="54" t="s">
        <v>226</v>
      </c>
    </row>
    <row r="361" spans="1:8" ht="15" customHeight="1">
      <c r="A361" s="54"/>
      <c r="B361" s="57" t="s">
        <v>226</v>
      </c>
      <c r="C361" s="54"/>
      <c r="D361" s="55"/>
      <c r="E361" s="54"/>
      <c r="F361" s="56" t="s">
        <v>226</v>
      </c>
      <c r="G361" s="56"/>
      <c r="H361" s="56" t="s">
        <v>226</v>
      </c>
    </row>
    <row r="362" spans="1:8" ht="18" customHeight="1">
      <c r="A362" s="140" t="s">
        <v>210</v>
      </c>
      <c r="B362" s="140"/>
      <c r="C362" s="140"/>
      <c r="D362" s="140"/>
      <c r="E362" s="140"/>
      <c r="F362" s="140"/>
      <c r="G362" s="140"/>
      <c r="H362" s="140"/>
    </row>
    <row r="363" spans="1:10" ht="16.5" customHeight="1">
      <c r="A363" s="139" t="s">
        <v>277</v>
      </c>
      <c r="B363" s="139"/>
      <c r="C363" s="139"/>
      <c r="D363" s="139"/>
      <c r="E363" s="139"/>
      <c r="F363" s="139"/>
      <c r="G363" s="139"/>
      <c r="H363" s="139"/>
      <c r="J363" s="31" t="s">
        <v>226</v>
      </c>
    </row>
    <row r="364" spans="4:8" ht="15" customHeight="1">
      <c r="D364" s="42"/>
      <c r="F364" s="33"/>
      <c r="G364" s="33"/>
      <c r="H364" s="33"/>
    </row>
    <row r="365" spans="1:8" ht="15">
      <c r="A365" s="124" t="s">
        <v>209</v>
      </c>
      <c r="B365" s="124"/>
      <c r="C365" s="124"/>
      <c r="D365" s="124"/>
      <c r="E365" s="124"/>
      <c r="F365" s="124"/>
      <c r="G365" s="124"/>
      <c r="H365" s="124"/>
    </row>
    <row r="366" spans="1:8" ht="101.25" customHeight="1">
      <c r="A366" s="139" t="s">
        <v>278</v>
      </c>
      <c r="B366" s="139"/>
      <c r="C366" s="139"/>
      <c r="D366" s="139"/>
      <c r="E366" s="139"/>
      <c r="F366" s="139"/>
      <c r="G366" s="139"/>
      <c r="H366" s="139"/>
    </row>
    <row r="367" spans="4:8" ht="6.75" customHeight="1">
      <c r="D367" s="42"/>
      <c r="F367" s="33"/>
      <c r="G367" s="33"/>
      <c r="H367" s="33"/>
    </row>
    <row r="368" ht="14.25">
      <c r="D368" s="42"/>
    </row>
    <row r="369" spans="1:8" ht="15">
      <c r="A369" s="9" t="s">
        <v>233</v>
      </c>
      <c r="D369" s="42"/>
      <c r="E369" s="42"/>
      <c r="F369" s="9">
        <v>2023</v>
      </c>
      <c r="G369" s="42"/>
      <c r="H369" s="9">
        <v>2022</v>
      </c>
    </row>
    <row r="370" spans="1:8" ht="15.75" customHeight="1">
      <c r="A370" s="26" t="s">
        <v>211</v>
      </c>
      <c r="D370" s="42" t="s">
        <v>108</v>
      </c>
      <c r="E370" s="42"/>
      <c r="F370" s="33">
        <f>24906+43000+27000+13000</f>
        <v>107906</v>
      </c>
      <c r="G370" s="42"/>
      <c r="H370" s="33">
        <v>79119</v>
      </c>
    </row>
    <row r="371" spans="1:8" ht="15.75" customHeight="1">
      <c r="A371" s="31" t="s">
        <v>35</v>
      </c>
      <c r="D371" s="42" t="s">
        <v>108</v>
      </c>
      <c r="E371" s="42"/>
      <c r="F371" s="33">
        <v>4000</v>
      </c>
      <c r="G371" s="42"/>
      <c r="H371" s="33">
        <v>4000</v>
      </c>
    </row>
    <row r="372" spans="1:8" ht="15.75" customHeight="1">
      <c r="A372" s="26" t="s">
        <v>169</v>
      </c>
      <c r="B372" s="26"/>
      <c r="C372" s="26"/>
      <c r="D372" s="37" t="s">
        <v>108</v>
      </c>
      <c r="E372" s="37"/>
      <c r="F372" s="38">
        <v>2000</v>
      </c>
      <c r="G372" s="37"/>
      <c r="H372" s="38">
        <v>2000</v>
      </c>
    </row>
    <row r="373" spans="1:8" ht="15.75" customHeight="1">
      <c r="A373" s="26" t="s">
        <v>170</v>
      </c>
      <c r="B373" s="26"/>
      <c r="C373" s="26"/>
      <c r="D373" s="37" t="s">
        <v>108</v>
      </c>
      <c r="E373" s="37"/>
      <c r="F373" s="38">
        <v>1077</v>
      </c>
      <c r="G373" s="37"/>
      <c r="H373" s="38">
        <v>2077</v>
      </c>
    </row>
    <row r="374" spans="1:8" ht="15.75" customHeight="1">
      <c r="A374" s="26" t="s">
        <v>171</v>
      </c>
      <c r="B374" s="26"/>
      <c r="C374" s="26"/>
      <c r="D374" s="37" t="s">
        <v>108</v>
      </c>
      <c r="E374" s="37"/>
      <c r="F374" s="38">
        <v>1987.2</v>
      </c>
      <c r="G374" s="37"/>
      <c r="H374" s="38">
        <v>1497</v>
      </c>
    </row>
    <row r="375" spans="1:8" ht="15.75" customHeight="1">
      <c r="A375" s="26" t="s">
        <v>279</v>
      </c>
      <c r="B375" s="26"/>
      <c r="C375" s="26"/>
      <c r="D375" s="37" t="s">
        <v>108</v>
      </c>
      <c r="E375" s="37"/>
      <c r="F375" s="38">
        <f>1189.3+858.95+2432.6</f>
        <v>4480.85</v>
      </c>
      <c r="G375" s="37"/>
      <c r="H375" s="38">
        <f>250+1189.3</f>
        <v>1439.3</v>
      </c>
    </row>
    <row r="376" spans="1:8" ht="15.75" customHeight="1">
      <c r="A376" s="26" t="s">
        <v>201</v>
      </c>
      <c r="B376" s="26"/>
      <c r="C376" s="26"/>
      <c r="D376" s="37" t="s">
        <v>108</v>
      </c>
      <c r="E376" s="37"/>
      <c r="F376" s="38">
        <v>1500</v>
      </c>
      <c r="G376" s="37"/>
      <c r="H376" s="38">
        <v>1500</v>
      </c>
    </row>
    <row r="377" spans="1:8" ht="15.75" customHeight="1">
      <c r="A377" s="26" t="s">
        <v>186</v>
      </c>
      <c r="B377" s="26"/>
      <c r="C377" s="26"/>
      <c r="D377" s="37" t="s">
        <v>108</v>
      </c>
      <c r="E377" s="37"/>
      <c r="F377" s="38">
        <v>1000</v>
      </c>
      <c r="G377" s="37"/>
      <c r="H377" s="38">
        <v>1000</v>
      </c>
    </row>
    <row r="378" spans="1:8" ht="15.75" customHeight="1">
      <c r="A378" s="31" t="s">
        <v>36</v>
      </c>
      <c r="D378" s="42" t="s">
        <v>108</v>
      </c>
      <c r="E378" s="42"/>
      <c r="F378" s="33">
        <f>131183.83-123951.05</f>
        <v>7232.779999999984</v>
      </c>
      <c r="G378" s="42"/>
      <c r="H378" s="33">
        <f>8162.95-H375</f>
        <v>6723.65</v>
      </c>
    </row>
    <row r="379" spans="1:8" ht="17.25" customHeight="1" thickBot="1">
      <c r="A379" s="12" t="s">
        <v>8</v>
      </c>
      <c r="B379" s="12"/>
      <c r="C379" s="12"/>
      <c r="D379" s="23" t="s">
        <v>108</v>
      </c>
      <c r="E379" s="23"/>
      <c r="F379" s="13">
        <f>SUM(F370:F378)</f>
        <v>131183.83</v>
      </c>
      <c r="G379" s="23"/>
      <c r="H379" s="13">
        <f>SUM(H370:H378)</f>
        <v>99355.95</v>
      </c>
    </row>
    <row r="380" spans="1:8" ht="17.25" customHeight="1">
      <c r="A380" s="141" t="s">
        <v>280</v>
      </c>
      <c r="B380" s="141"/>
      <c r="C380" s="141"/>
      <c r="D380" s="141"/>
      <c r="E380" s="141"/>
      <c r="F380" s="141"/>
      <c r="G380" s="141"/>
      <c r="H380" s="141"/>
    </row>
    <row r="381" ht="14.25" customHeight="1">
      <c r="D381" s="42"/>
    </row>
    <row r="382" spans="1:8" ht="13.5" customHeight="1">
      <c r="A382" s="9" t="s">
        <v>234</v>
      </c>
      <c r="D382" s="42"/>
      <c r="E382" s="42"/>
      <c r="F382" s="9">
        <v>2023</v>
      </c>
      <c r="G382" s="42"/>
      <c r="H382" s="9">
        <v>2022</v>
      </c>
    </row>
    <row r="383" spans="1:8" ht="14.25">
      <c r="A383" s="31" t="s">
        <v>231</v>
      </c>
      <c r="D383" s="42"/>
      <c r="E383" s="42"/>
      <c r="F383" s="33"/>
      <c r="G383" s="42"/>
      <c r="H383" s="33"/>
    </row>
    <row r="384" spans="1:8" ht="14.25">
      <c r="A384" s="31" t="s">
        <v>39</v>
      </c>
      <c r="D384" s="42" t="s">
        <v>108</v>
      </c>
      <c r="E384" s="42"/>
      <c r="F384" s="33">
        <v>136154.63</v>
      </c>
      <c r="G384" s="42"/>
      <c r="H384" s="33">
        <f>B266</f>
        <v>210628.13</v>
      </c>
    </row>
    <row r="385" spans="1:8" ht="14.25">
      <c r="A385" s="31" t="s">
        <v>9</v>
      </c>
      <c r="D385" s="42" t="s">
        <v>108</v>
      </c>
      <c r="E385" s="42"/>
      <c r="F385" s="33">
        <f>D285</f>
        <v>19939.4</v>
      </c>
      <c r="G385" s="42"/>
      <c r="H385" s="33">
        <f>D266</f>
        <v>35522.05</v>
      </c>
    </row>
    <row r="386" spans="1:8" ht="19.5" customHeight="1" thickBot="1">
      <c r="A386" s="12" t="s">
        <v>10</v>
      </c>
      <c r="B386" s="12"/>
      <c r="C386" s="12"/>
      <c r="D386" s="23" t="s">
        <v>108</v>
      </c>
      <c r="E386" s="23"/>
      <c r="F386" s="13">
        <f>SUM(F384:F385)</f>
        <v>156094.03</v>
      </c>
      <c r="G386" s="23"/>
      <c r="H386" s="13">
        <f>SUM(H384:H385)</f>
        <v>246150.18</v>
      </c>
    </row>
    <row r="387" ht="14.25">
      <c r="D387" s="42"/>
    </row>
    <row r="388" spans="1:4" ht="15">
      <c r="A388" s="9" t="s">
        <v>235</v>
      </c>
      <c r="D388" s="42"/>
    </row>
    <row r="389" spans="1:8" ht="32.25" customHeight="1">
      <c r="A389" s="139" t="s">
        <v>197</v>
      </c>
      <c r="B389" s="135"/>
      <c r="C389" s="135"/>
      <c r="D389" s="135"/>
      <c r="E389" s="135"/>
      <c r="F389" s="135"/>
      <c r="G389" s="135"/>
      <c r="H389" s="135"/>
    </row>
    <row r="390" spans="1:8" ht="14.25">
      <c r="A390" s="47"/>
      <c r="B390" s="47"/>
      <c r="C390" s="47"/>
      <c r="D390" s="47"/>
      <c r="E390" s="47"/>
      <c r="F390" s="47"/>
      <c r="G390" s="47"/>
      <c r="H390" s="47"/>
    </row>
    <row r="391" spans="1:18" s="26" customFormat="1" ht="15">
      <c r="A391" s="9" t="s">
        <v>236</v>
      </c>
      <c r="B391" s="31"/>
      <c r="C391" s="31"/>
      <c r="D391" s="42"/>
      <c r="E391" s="31"/>
      <c r="F391" s="31"/>
      <c r="G391" s="31"/>
      <c r="H391" s="31"/>
      <c r="Q391" s="31"/>
      <c r="R391" s="31"/>
    </row>
    <row r="392" spans="1:8" s="26" customFormat="1" ht="15">
      <c r="A392" s="9"/>
      <c r="B392" s="31"/>
      <c r="C392" s="31"/>
      <c r="D392" s="42"/>
      <c r="E392" s="42"/>
      <c r="F392" s="9">
        <v>2023</v>
      </c>
      <c r="G392" s="42"/>
      <c r="H392" s="9">
        <v>2022</v>
      </c>
    </row>
    <row r="393" spans="1:8" s="26" customFormat="1" ht="14.25">
      <c r="A393" s="31" t="s">
        <v>11</v>
      </c>
      <c r="B393" s="31"/>
      <c r="C393" s="31"/>
      <c r="D393" s="42"/>
      <c r="E393" s="42"/>
      <c r="F393" s="33"/>
      <c r="G393" s="42"/>
      <c r="H393" s="33"/>
    </row>
    <row r="394" spans="1:8" s="26" customFormat="1" ht="14.25">
      <c r="A394" s="31" t="s">
        <v>12</v>
      </c>
      <c r="B394" s="31"/>
      <c r="C394" s="31"/>
      <c r="D394" s="42" t="s">
        <v>108</v>
      </c>
      <c r="E394" s="42"/>
      <c r="F394" s="33">
        <v>11030.39</v>
      </c>
      <c r="G394" s="42"/>
      <c r="H394" s="33">
        <v>-264.19</v>
      </c>
    </row>
    <row r="395" spans="1:8" s="26" customFormat="1" ht="14.25">
      <c r="A395" s="31" t="s">
        <v>13</v>
      </c>
      <c r="B395" s="31"/>
      <c r="C395" s="31"/>
      <c r="D395" s="42" t="s">
        <v>108</v>
      </c>
      <c r="E395" s="42"/>
      <c r="F395" s="33">
        <v>-5195.88</v>
      </c>
      <c r="G395" s="42"/>
      <c r="H395" s="33">
        <v>-6774.98</v>
      </c>
    </row>
    <row r="396" spans="1:8" s="26" customFormat="1" ht="15.75" thickBot="1">
      <c r="A396" s="12" t="s">
        <v>44</v>
      </c>
      <c r="B396" s="12"/>
      <c r="C396" s="12"/>
      <c r="D396" s="23" t="s">
        <v>108</v>
      </c>
      <c r="E396" s="23"/>
      <c r="F396" s="13">
        <f>SUM(F394:F395)</f>
        <v>5834.509999999999</v>
      </c>
      <c r="G396" s="23"/>
      <c r="H396" s="13">
        <f>SUM(H394:H395)</f>
        <v>-7039.169999999999</v>
      </c>
    </row>
    <row r="397" spans="1:18" ht="15">
      <c r="A397" s="9"/>
      <c r="D397" s="42"/>
      <c r="Q397" s="26"/>
      <c r="R397" s="26"/>
    </row>
    <row r="398" spans="1:4" ht="15">
      <c r="A398" s="9" t="s">
        <v>237</v>
      </c>
      <c r="D398" s="42"/>
    </row>
    <row r="399" spans="1:8" ht="15">
      <c r="A399" s="9"/>
      <c r="D399" s="42"/>
      <c r="E399" s="42"/>
      <c r="F399" s="9">
        <v>2023</v>
      </c>
      <c r="G399" s="42"/>
      <c r="H399" s="9">
        <v>2022</v>
      </c>
    </row>
    <row r="400" spans="1:8" ht="14.25">
      <c r="A400" s="31" t="s">
        <v>194</v>
      </c>
      <c r="D400" s="42" t="s">
        <v>108</v>
      </c>
      <c r="E400" s="42"/>
      <c r="F400" s="33">
        <f>-(230904.12+50551.65)</f>
        <v>-281455.77</v>
      </c>
      <c r="G400" s="42"/>
      <c r="H400" s="33">
        <f>-55023.45-218382.45</f>
        <v>-273405.9</v>
      </c>
    </row>
    <row r="401" spans="1:8" ht="14.25">
      <c r="A401" s="51" t="s">
        <v>195</v>
      </c>
      <c r="B401" s="51"/>
      <c r="C401" s="51"/>
      <c r="D401" s="42" t="s">
        <v>108</v>
      </c>
      <c r="E401" s="42"/>
      <c r="F401" s="33">
        <f>155433.75+64800</f>
        <v>220233.75</v>
      </c>
      <c r="G401" s="42"/>
      <c r="H401" s="33">
        <f>143200+61500</f>
        <v>204700</v>
      </c>
    </row>
    <row r="402" spans="1:8" ht="18" customHeight="1" thickBot="1">
      <c r="A402" s="13" t="s">
        <v>196</v>
      </c>
      <c r="B402" s="13"/>
      <c r="C402" s="13"/>
      <c r="D402" s="23" t="s">
        <v>108</v>
      </c>
      <c r="E402" s="23"/>
      <c r="F402" s="13">
        <f>SUM(F400:F401)</f>
        <v>-61222.02000000002</v>
      </c>
      <c r="G402" s="23"/>
      <c r="H402" s="13">
        <f>SUM(H400:H401)</f>
        <v>-68705.90000000002</v>
      </c>
    </row>
    <row r="403" spans="1:4" ht="18" customHeight="1">
      <c r="A403" s="9"/>
      <c r="D403" s="10"/>
    </row>
    <row r="404" spans="1:8" ht="38.25" customHeight="1">
      <c r="A404" s="139" t="s">
        <v>281</v>
      </c>
      <c r="B404" s="139"/>
      <c r="C404" s="139"/>
      <c r="D404" s="139"/>
      <c r="E404" s="139"/>
      <c r="F404" s="139"/>
      <c r="G404" s="139"/>
      <c r="H404" s="139"/>
    </row>
    <row r="405" spans="1:4" ht="12" customHeight="1">
      <c r="A405" s="21"/>
      <c r="D405" s="42"/>
    </row>
    <row r="406" spans="1:4" ht="21" customHeight="1">
      <c r="A406" s="9" t="s">
        <v>238</v>
      </c>
      <c r="D406" s="42"/>
    </row>
    <row r="407" spans="1:8" ht="16.5" customHeight="1">
      <c r="A407" s="139" t="s">
        <v>282</v>
      </c>
      <c r="B407" s="139"/>
      <c r="C407" s="139"/>
      <c r="D407" s="139"/>
      <c r="E407" s="139"/>
      <c r="F407" s="139"/>
      <c r="G407" s="139"/>
      <c r="H407" s="139"/>
    </row>
    <row r="408" spans="1:4" ht="12" customHeight="1">
      <c r="A408" s="21"/>
      <c r="D408" s="42"/>
    </row>
    <row r="409" spans="1:4" ht="15">
      <c r="A409" s="9" t="s">
        <v>14</v>
      </c>
      <c r="D409" s="42"/>
    </row>
    <row r="410" spans="1:8" ht="33.75" customHeight="1">
      <c r="A410" s="139" t="s">
        <v>15</v>
      </c>
      <c r="B410" s="139"/>
      <c r="C410" s="139"/>
      <c r="D410" s="139"/>
      <c r="E410" s="139"/>
      <c r="F410" s="139"/>
      <c r="G410" s="139"/>
      <c r="H410" s="139"/>
    </row>
    <row r="411" spans="1:4" ht="14.25">
      <c r="A411" s="21"/>
      <c r="D411" s="42"/>
    </row>
    <row r="412" spans="1:4" ht="28.5" customHeight="1">
      <c r="A412" s="9" t="s">
        <v>283</v>
      </c>
      <c r="D412" s="42"/>
    </row>
    <row r="413" spans="1:4" ht="12" customHeight="1">
      <c r="A413" s="21"/>
      <c r="D413" s="42"/>
    </row>
    <row r="414" spans="1:4" ht="15">
      <c r="A414" s="9" t="s">
        <v>239</v>
      </c>
      <c r="D414" s="42"/>
    </row>
    <row r="415" spans="1:8" ht="23.25" customHeight="1">
      <c r="A415" s="139" t="s">
        <v>16</v>
      </c>
      <c r="B415" s="139"/>
      <c r="C415" s="139"/>
      <c r="D415" s="139"/>
      <c r="E415" s="139"/>
      <c r="F415" s="139"/>
      <c r="G415" s="139"/>
      <c r="H415" s="139"/>
    </row>
    <row r="416" spans="1:8" ht="14.25">
      <c r="A416" s="45"/>
      <c r="B416" s="45"/>
      <c r="C416" s="45"/>
      <c r="D416" s="45"/>
      <c r="E416" s="45"/>
      <c r="F416" s="45"/>
      <c r="G416" s="45"/>
      <c r="H416" s="45"/>
    </row>
    <row r="417" spans="1:8" ht="14.25">
      <c r="A417" s="45"/>
      <c r="B417" s="45"/>
      <c r="C417" s="45"/>
      <c r="D417" s="45"/>
      <c r="E417" s="45"/>
      <c r="F417" s="45"/>
      <c r="G417" s="45"/>
      <c r="H417" s="45"/>
    </row>
    <row r="418" spans="1:8" ht="15">
      <c r="A418" s="44" t="s">
        <v>165</v>
      </c>
      <c r="B418" s="45"/>
      <c r="C418" s="45"/>
      <c r="D418" s="45"/>
      <c r="E418" s="45"/>
      <c r="F418" s="45"/>
      <c r="G418" s="45"/>
      <c r="H418" s="45"/>
    </row>
    <row r="419" spans="1:8" ht="15">
      <c r="A419" s="44"/>
      <c r="B419" s="45"/>
      <c r="C419" s="45"/>
      <c r="D419" s="45"/>
      <c r="E419" s="45"/>
      <c r="F419" s="45"/>
      <c r="G419" s="45"/>
      <c r="H419" s="45"/>
    </row>
    <row r="420" spans="1:8" ht="15">
      <c r="A420" s="44" t="s">
        <v>232</v>
      </c>
      <c r="B420" s="45"/>
      <c r="C420" s="45"/>
      <c r="D420" s="45"/>
      <c r="E420" s="45"/>
      <c r="F420" s="45"/>
      <c r="G420" s="45"/>
      <c r="H420" s="45"/>
    </row>
    <row r="421" spans="1:8" ht="102.75" customHeight="1">
      <c r="A421" s="139" t="s">
        <v>292</v>
      </c>
      <c r="B421" s="139"/>
      <c r="C421" s="139"/>
      <c r="D421" s="139"/>
      <c r="E421" s="139"/>
      <c r="F421" s="139"/>
      <c r="G421" s="139"/>
      <c r="H421" s="139"/>
    </row>
    <row r="422" spans="1:8" ht="15">
      <c r="A422" s="45"/>
      <c r="B422" s="49"/>
      <c r="C422" s="49"/>
      <c r="D422" s="49"/>
      <c r="E422" s="49"/>
      <c r="F422" s="49"/>
      <c r="G422" s="49"/>
      <c r="H422" s="49"/>
    </row>
    <row r="423" spans="1:8" ht="15">
      <c r="A423" s="44" t="s">
        <v>172</v>
      </c>
      <c r="B423" s="45"/>
      <c r="C423" s="45"/>
      <c r="D423" s="45"/>
      <c r="E423" s="45"/>
      <c r="F423" s="45"/>
      <c r="G423" s="45"/>
      <c r="H423" s="45"/>
    </row>
    <row r="424" spans="1:8" ht="38.25" customHeight="1">
      <c r="A424" s="139" t="s">
        <v>193</v>
      </c>
      <c r="B424" s="139"/>
      <c r="C424" s="139"/>
      <c r="D424" s="139"/>
      <c r="E424" s="139"/>
      <c r="F424" s="139"/>
      <c r="G424" s="139"/>
      <c r="H424" s="139"/>
    </row>
    <row r="425" spans="1:8" ht="14.25">
      <c r="A425" s="45"/>
      <c r="B425" s="45"/>
      <c r="C425" s="45"/>
      <c r="D425" s="45"/>
      <c r="E425" s="45"/>
      <c r="F425" s="45"/>
      <c r="G425" s="45"/>
      <c r="H425" s="45"/>
    </row>
    <row r="426" spans="1:4" ht="30" customHeight="1">
      <c r="A426" s="9" t="s">
        <v>173</v>
      </c>
      <c r="D426" s="42"/>
    </row>
    <row r="427" spans="1:10" ht="59.25" customHeight="1">
      <c r="A427" s="139" t="s">
        <v>284</v>
      </c>
      <c r="B427" s="139"/>
      <c r="C427" s="139"/>
      <c r="D427" s="139"/>
      <c r="E427" s="139"/>
      <c r="F427" s="139"/>
      <c r="G427" s="139"/>
      <c r="H427" s="139"/>
      <c r="J427" s="31" t="s">
        <v>226</v>
      </c>
    </row>
    <row r="428" spans="1:8" ht="14.25">
      <c r="A428" s="45"/>
      <c r="B428" s="45"/>
      <c r="C428" s="45"/>
      <c r="D428" s="45"/>
      <c r="E428" s="45"/>
      <c r="F428" s="45"/>
      <c r="G428" s="45"/>
      <c r="H428" s="45"/>
    </row>
    <row r="429" spans="1:4" ht="18" customHeight="1">
      <c r="A429" s="9" t="s">
        <v>174</v>
      </c>
      <c r="D429" s="42"/>
    </row>
    <row r="430" spans="1:10" ht="15">
      <c r="A430" s="9"/>
      <c r="B430" s="46"/>
      <c r="C430" s="46"/>
      <c r="D430" s="65">
        <v>45291</v>
      </c>
      <c r="E430" s="46"/>
      <c r="F430" s="65">
        <v>44926</v>
      </c>
      <c r="G430" s="10"/>
      <c r="H430" s="65"/>
      <c r="J430" s="46"/>
    </row>
    <row r="431" spans="1:10" ht="20.25" customHeight="1">
      <c r="A431" s="45" t="s">
        <v>175</v>
      </c>
      <c r="B431" s="42" t="s">
        <v>108</v>
      </c>
      <c r="C431" s="42"/>
      <c r="D431" s="33">
        <v>3889.55</v>
      </c>
      <c r="E431" s="42"/>
      <c r="F431" s="33">
        <v>10557.35</v>
      </c>
      <c r="G431" s="45"/>
      <c r="H431" s="33"/>
      <c r="I431" s="45"/>
      <c r="J431" s="33"/>
    </row>
    <row r="432" spans="1:10" ht="15" customHeight="1">
      <c r="A432" s="45" t="s">
        <v>176</v>
      </c>
      <c r="B432" s="42" t="s">
        <v>108</v>
      </c>
      <c r="C432" s="42"/>
      <c r="D432" s="33">
        <v>16100</v>
      </c>
      <c r="E432" s="42"/>
      <c r="F432" s="33">
        <v>29900</v>
      </c>
      <c r="G432" s="45"/>
      <c r="H432" s="33"/>
      <c r="I432" s="45"/>
      <c r="J432" s="33"/>
    </row>
    <row r="433" spans="1:10" ht="17.25" customHeight="1">
      <c r="A433" s="47" t="s">
        <v>179</v>
      </c>
      <c r="B433" s="42" t="s">
        <v>108</v>
      </c>
      <c r="C433" s="42"/>
      <c r="D433" s="33">
        <v>749250</v>
      </c>
      <c r="E433" s="42"/>
      <c r="F433" s="33">
        <v>830250</v>
      </c>
      <c r="G433" s="45"/>
      <c r="H433" s="33"/>
      <c r="I433" s="45"/>
      <c r="J433" s="33"/>
    </row>
    <row r="434" spans="1:8" ht="14.25">
      <c r="A434" s="47"/>
      <c r="B434" s="48"/>
      <c r="C434" s="48"/>
      <c r="D434" s="48"/>
      <c r="E434" s="45"/>
      <c r="F434" s="48"/>
      <c r="G434" s="45"/>
      <c r="H434" s="45"/>
    </row>
    <row r="435" spans="1:8" ht="14.25">
      <c r="A435" s="47"/>
      <c r="B435" s="48"/>
      <c r="C435" s="48"/>
      <c r="D435" s="48"/>
      <c r="E435" s="45"/>
      <c r="F435" s="48"/>
      <c r="G435" s="45"/>
      <c r="H435" s="45"/>
    </row>
    <row r="436" spans="1:8" ht="14.25">
      <c r="A436" s="47"/>
      <c r="B436" s="48"/>
      <c r="C436" s="48"/>
      <c r="D436" s="48"/>
      <c r="E436" s="45"/>
      <c r="F436" s="48"/>
      <c r="G436" s="45"/>
      <c r="H436" s="45"/>
    </row>
    <row r="437" spans="1:8" ht="18" customHeight="1">
      <c r="A437" s="47"/>
      <c r="B437" s="48"/>
      <c r="C437" s="48"/>
      <c r="D437" s="48"/>
      <c r="E437" s="45"/>
      <c r="F437" s="48"/>
      <c r="G437" s="45"/>
      <c r="H437" s="45"/>
    </row>
    <row r="438" spans="1:6" ht="14.25" customHeight="1">
      <c r="A438" s="9" t="s">
        <v>285</v>
      </c>
      <c r="D438" s="42"/>
      <c r="F438" s="42"/>
    </row>
    <row r="439" spans="1:10" ht="14.25" customHeight="1">
      <c r="A439" s="47"/>
      <c r="B439" s="9"/>
      <c r="C439" s="9"/>
      <c r="D439" s="9">
        <v>2023</v>
      </c>
      <c r="E439" s="9"/>
      <c r="F439" s="9">
        <v>2022</v>
      </c>
      <c r="G439" s="45"/>
      <c r="H439" s="9"/>
      <c r="I439" s="45"/>
      <c r="J439" s="9"/>
    </row>
    <row r="440" spans="1:10" ht="14.25" customHeight="1">
      <c r="A440" s="47"/>
      <c r="B440" s="9"/>
      <c r="C440" s="9"/>
      <c r="D440" s="9"/>
      <c r="E440" s="9"/>
      <c r="F440" s="9"/>
      <c r="G440" s="45"/>
      <c r="H440" s="9"/>
      <c r="I440" s="45"/>
      <c r="J440" s="45"/>
    </row>
    <row r="441" spans="1:10" ht="14.25" customHeight="1">
      <c r="A441" s="47" t="s">
        <v>187</v>
      </c>
      <c r="B441" s="42" t="s">
        <v>108</v>
      </c>
      <c r="C441" s="42"/>
      <c r="D441" s="33">
        <v>9815746.485977465</v>
      </c>
      <c r="E441" s="42"/>
      <c r="F441" s="33">
        <v>9005298.59</v>
      </c>
      <c r="G441" s="45"/>
      <c r="H441" s="33"/>
      <c r="I441" s="45"/>
      <c r="J441" s="33"/>
    </row>
    <row r="442" spans="1:10" ht="14.25" customHeight="1">
      <c r="A442" s="47" t="s">
        <v>188</v>
      </c>
      <c r="B442" s="42" t="s">
        <v>108</v>
      </c>
      <c r="C442" s="42"/>
      <c r="D442" s="33">
        <v>1641371.0162683297</v>
      </c>
      <c r="E442" s="42"/>
      <c r="F442" s="33">
        <v>1648406.57</v>
      </c>
      <c r="G442" s="45"/>
      <c r="H442" s="33"/>
      <c r="I442" s="45"/>
      <c r="J442" s="33"/>
    </row>
    <row r="443" spans="1:10" ht="15" customHeight="1">
      <c r="A443" s="47" t="s">
        <v>189</v>
      </c>
      <c r="B443" s="42" t="s">
        <v>108</v>
      </c>
      <c r="C443" s="42"/>
      <c r="D443" s="33">
        <v>1474153.99535234</v>
      </c>
      <c r="E443" s="42"/>
      <c r="F443" s="33">
        <v>1523483.38</v>
      </c>
      <c r="G443" s="45"/>
      <c r="H443" s="33"/>
      <c r="I443" s="45"/>
      <c r="J443" s="33"/>
    </row>
    <row r="444" spans="1:10" ht="14.25" customHeight="1">
      <c r="A444" s="47" t="s">
        <v>190</v>
      </c>
      <c r="B444" s="42" t="s">
        <v>108</v>
      </c>
      <c r="C444" s="42"/>
      <c r="D444" s="33">
        <v>534776.6024018665</v>
      </c>
      <c r="E444" s="42"/>
      <c r="F444" s="33">
        <v>420986.93</v>
      </c>
      <c r="G444" s="45"/>
      <c r="H444" s="33"/>
      <c r="I444" s="45"/>
      <c r="J444" s="33"/>
    </row>
    <row r="445" spans="1:10" ht="5.25" customHeight="1">
      <c r="A445" s="47"/>
      <c r="B445" s="48"/>
      <c r="C445" s="48"/>
      <c r="D445" s="48"/>
      <c r="E445" s="48"/>
      <c r="F445" s="48"/>
      <c r="G445" s="45"/>
      <c r="H445" s="48"/>
      <c r="I445" s="45"/>
      <c r="J445" s="48"/>
    </row>
    <row r="446" spans="1:10" ht="19.5" customHeight="1">
      <c r="A446" s="47" t="s">
        <v>192</v>
      </c>
      <c r="B446" s="42" t="s">
        <v>108</v>
      </c>
      <c r="C446" s="42"/>
      <c r="D446" s="78">
        <f>SUM(D441:D445)</f>
        <v>13466048.1</v>
      </c>
      <c r="E446" s="42"/>
      <c r="F446" s="78">
        <f>SUM(F441:F445)</f>
        <v>12598175.469999999</v>
      </c>
      <c r="G446" s="45"/>
      <c r="H446" s="78"/>
      <c r="I446" s="45"/>
      <c r="J446" s="78"/>
    </row>
    <row r="447" spans="1:8" ht="23.25" customHeight="1">
      <c r="A447" s="47"/>
      <c r="B447" s="48"/>
      <c r="C447" s="45"/>
      <c r="D447" s="48"/>
      <c r="E447" s="45"/>
      <c r="F447" s="45"/>
      <c r="G447" s="45"/>
      <c r="H447" s="45"/>
    </row>
    <row r="448" spans="1:8" ht="49.5" customHeight="1">
      <c r="A448" s="139" t="s">
        <v>191</v>
      </c>
      <c r="B448" s="139"/>
      <c r="C448" s="139"/>
      <c r="D448" s="139"/>
      <c r="E448" s="139"/>
      <c r="F448" s="139"/>
      <c r="G448" s="139"/>
      <c r="H448" s="139"/>
    </row>
    <row r="449" spans="1:8" ht="21.75" customHeight="1">
      <c r="A449" s="45"/>
      <c r="B449" s="45"/>
      <c r="C449" s="45"/>
      <c r="D449" s="45"/>
      <c r="E449" s="45"/>
      <c r="F449" s="45"/>
      <c r="G449" s="45"/>
      <c r="H449" s="45"/>
    </row>
    <row r="450" spans="1:4" ht="24" customHeight="1">
      <c r="A450" s="31" t="s">
        <v>241</v>
      </c>
      <c r="D450" s="42"/>
    </row>
    <row r="451" ht="13.5" customHeight="1">
      <c r="D451" s="42"/>
    </row>
    <row r="452" ht="13.5" customHeight="1">
      <c r="D452" s="42"/>
    </row>
    <row r="453" spans="1:6" ht="13.5" customHeight="1">
      <c r="A453" s="66" t="s">
        <v>240</v>
      </c>
      <c r="B453" s="126"/>
      <c r="C453" s="126"/>
      <c r="D453" s="127"/>
      <c r="E453" s="126"/>
      <c r="F453" s="126"/>
    </row>
    <row r="454" ht="13.5" customHeight="1">
      <c r="D454" s="42"/>
    </row>
    <row r="455" ht="13.5" customHeight="1">
      <c r="D455" s="42"/>
    </row>
    <row r="456" ht="13.5" customHeight="1">
      <c r="D456" s="42"/>
    </row>
    <row r="457" ht="21.75" customHeight="1">
      <c r="D457" s="42"/>
    </row>
    <row r="458" ht="13.5" customHeight="1">
      <c r="D458" s="42"/>
    </row>
    <row r="459" ht="13.5" customHeight="1">
      <c r="D459" s="42"/>
    </row>
    <row r="460" ht="13.5" customHeight="1">
      <c r="D460" s="42"/>
    </row>
    <row r="461" ht="13.5" customHeight="1">
      <c r="D461" s="42"/>
    </row>
    <row r="462" ht="13.5" customHeight="1">
      <c r="D462" s="42"/>
    </row>
    <row r="463" ht="13.5" customHeight="1">
      <c r="D463" s="42"/>
    </row>
    <row r="464" ht="13.5" customHeight="1">
      <c r="D464" s="42"/>
    </row>
    <row r="465" ht="13.5" customHeight="1">
      <c r="D465" s="42"/>
    </row>
    <row r="466" ht="13.5" customHeight="1">
      <c r="D466" s="42"/>
    </row>
    <row r="467" ht="33" customHeight="1">
      <c r="D467" s="42"/>
    </row>
    <row r="468" ht="13.5" customHeight="1">
      <c r="D468" s="42"/>
    </row>
    <row r="469" ht="13.5" customHeight="1">
      <c r="D469" s="42"/>
    </row>
    <row r="470" ht="13.5" customHeight="1">
      <c r="D470" s="42"/>
    </row>
    <row r="471" ht="15.75" customHeight="1">
      <c r="D471" s="42"/>
    </row>
    <row r="472" ht="14.25" customHeight="1">
      <c r="D472" s="42"/>
    </row>
    <row r="473" ht="14.25">
      <c r="D473" s="42"/>
    </row>
    <row r="474" ht="14.25">
      <c r="D474" s="42"/>
    </row>
    <row r="475" ht="14.25">
      <c r="D475" s="42"/>
    </row>
    <row r="476" ht="14.25">
      <c r="D476" s="42"/>
    </row>
    <row r="477" ht="14.25">
      <c r="D477" s="42"/>
    </row>
    <row r="478" ht="14.25">
      <c r="D478" s="42"/>
    </row>
    <row r="479" ht="14.25">
      <c r="D479" s="42"/>
    </row>
    <row r="480" ht="14.25">
      <c r="D480" s="42"/>
    </row>
    <row r="481" ht="14.25">
      <c r="D481" s="42"/>
    </row>
    <row r="482" ht="14.25">
      <c r="D482" s="42"/>
    </row>
    <row r="483" ht="14.25">
      <c r="D483" s="42"/>
    </row>
    <row r="484" ht="14.25">
      <c r="D484" s="42"/>
    </row>
    <row r="485" ht="14.25">
      <c r="D485" s="42"/>
    </row>
    <row r="486" ht="14.25">
      <c r="D486" s="42"/>
    </row>
    <row r="487" ht="14.25">
      <c r="D487" s="42"/>
    </row>
    <row r="488" ht="14.25">
      <c r="D488" s="42"/>
    </row>
    <row r="489" ht="14.25">
      <c r="D489" s="42"/>
    </row>
    <row r="490" ht="14.25">
      <c r="D490" s="42"/>
    </row>
    <row r="491" ht="14.25">
      <c r="D491" s="42"/>
    </row>
    <row r="492" ht="14.25">
      <c r="D492" s="42"/>
    </row>
    <row r="493" ht="14.25">
      <c r="D493" s="42"/>
    </row>
    <row r="494" ht="14.25">
      <c r="D494" s="42"/>
    </row>
    <row r="495" ht="14.25">
      <c r="D495" s="42"/>
    </row>
    <row r="496" ht="14.25">
      <c r="D496" s="42"/>
    </row>
    <row r="497" ht="14.25">
      <c r="D497" s="42"/>
    </row>
    <row r="498" ht="14.25">
      <c r="D498" s="42"/>
    </row>
    <row r="499" ht="14.25">
      <c r="D499" s="42"/>
    </row>
    <row r="500" ht="14.25">
      <c r="D500" s="42"/>
    </row>
    <row r="501" ht="14.25">
      <c r="D501" s="42"/>
    </row>
    <row r="502" ht="14.25">
      <c r="D502" s="42"/>
    </row>
    <row r="503" ht="14.25">
      <c r="D503" s="42"/>
    </row>
    <row r="504" ht="14.25">
      <c r="D504" s="42"/>
    </row>
    <row r="505" ht="14.25">
      <c r="D505" s="42"/>
    </row>
    <row r="506" ht="14.25">
      <c r="D506" s="42"/>
    </row>
    <row r="507" ht="14.25">
      <c r="D507" s="42"/>
    </row>
    <row r="508" ht="14.25">
      <c r="D508" s="42"/>
    </row>
    <row r="509" ht="14.25">
      <c r="D509" s="42"/>
    </row>
    <row r="510" ht="14.25">
      <c r="D510" s="42"/>
    </row>
    <row r="511" ht="14.25">
      <c r="D511" s="42"/>
    </row>
    <row r="512" ht="14.25">
      <c r="D512" s="42"/>
    </row>
    <row r="513" ht="14.25">
      <c r="D513" s="42"/>
    </row>
    <row r="514" ht="14.25">
      <c r="D514" s="42"/>
    </row>
    <row r="515" ht="14.25">
      <c r="D515" s="42"/>
    </row>
    <row r="516" ht="14.25">
      <c r="D516" s="42"/>
    </row>
    <row r="517" ht="14.25">
      <c r="D517" s="42"/>
    </row>
    <row r="518" ht="14.25">
      <c r="D518" s="42"/>
    </row>
    <row r="519" ht="14.25">
      <c r="D519" s="42"/>
    </row>
    <row r="520" ht="14.25">
      <c r="D520" s="42"/>
    </row>
    <row r="521" ht="14.25">
      <c r="D521" s="42"/>
    </row>
    <row r="522" ht="14.25">
      <c r="D522" s="42"/>
    </row>
    <row r="523" ht="14.25">
      <c r="D523" s="42"/>
    </row>
    <row r="524" ht="14.25">
      <c r="D524" s="42"/>
    </row>
    <row r="525" ht="14.25">
      <c r="D525" s="42"/>
    </row>
    <row r="526" ht="14.25">
      <c r="D526" s="42"/>
    </row>
    <row r="527" ht="14.25">
      <c r="D527" s="42"/>
    </row>
    <row r="528" ht="14.25">
      <c r="D528" s="42"/>
    </row>
    <row r="529" ht="14.25">
      <c r="D529" s="42"/>
    </row>
    <row r="530" ht="14.25">
      <c r="D530" s="42"/>
    </row>
    <row r="531" ht="14.25">
      <c r="D531" s="42"/>
    </row>
    <row r="532" ht="14.25">
      <c r="D532" s="42"/>
    </row>
    <row r="533" ht="14.25">
      <c r="D533" s="42"/>
    </row>
    <row r="534" ht="14.25">
      <c r="D534" s="42"/>
    </row>
    <row r="535" ht="14.25">
      <c r="D535" s="42"/>
    </row>
    <row r="536" ht="14.25">
      <c r="D536" s="42"/>
    </row>
    <row r="537" ht="14.25">
      <c r="D537" s="42"/>
    </row>
    <row r="538" ht="14.25">
      <c r="D538" s="42"/>
    </row>
    <row r="539" ht="14.25">
      <c r="D539" s="42"/>
    </row>
    <row r="540" ht="14.25">
      <c r="D540" s="42"/>
    </row>
    <row r="541" ht="14.25">
      <c r="D541" s="42"/>
    </row>
    <row r="542" ht="14.25">
      <c r="D542" s="42"/>
    </row>
    <row r="543" ht="14.25">
      <c r="D543" s="42"/>
    </row>
    <row r="544" ht="14.25">
      <c r="D544" s="42"/>
    </row>
    <row r="545" ht="14.25">
      <c r="D545" s="42"/>
    </row>
    <row r="546" ht="14.25">
      <c r="D546" s="42"/>
    </row>
    <row r="547" ht="14.25">
      <c r="D547" s="42"/>
    </row>
    <row r="548" ht="14.25">
      <c r="D548" s="42"/>
    </row>
    <row r="549" ht="14.25">
      <c r="D549" s="42"/>
    </row>
    <row r="550" ht="14.25">
      <c r="D550" s="42"/>
    </row>
    <row r="551" ht="14.25">
      <c r="D551" s="42"/>
    </row>
    <row r="552" ht="14.25">
      <c r="D552" s="42"/>
    </row>
    <row r="553" ht="14.25">
      <c r="D553" s="42"/>
    </row>
    <row r="554" ht="14.25">
      <c r="D554" s="42"/>
    </row>
    <row r="555" ht="14.25">
      <c r="D555" s="42"/>
    </row>
    <row r="556" ht="14.25">
      <c r="D556" s="42"/>
    </row>
    <row r="557" ht="14.25">
      <c r="D557" s="42"/>
    </row>
    <row r="558" ht="14.25">
      <c r="D558" s="42"/>
    </row>
    <row r="559" ht="14.25">
      <c r="D559" s="42"/>
    </row>
    <row r="560" ht="14.25">
      <c r="D560" s="42"/>
    </row>
    <row r="561" ht="14.25">
      <c r="D561" s="42"/>
    </row>
    <row r="562" ht="14.25">
      <c r="D562" s="42"/>
    </row>
    <row r="563" ht="14.25">
      <c r="D563" s="42"/>
    </row>
    <row r="564" ht="14.25">
      <c r="D564" s="42"/>
    </row>
    <row r="565" ht="14.25">
      <c r="D565" s="42"/>
    </row>
    <row r="566" ht="14.25">
      <c r="D566" s="42"/>
    </row>
    <row r="567" ht="14.25">
      <c r="D567" s="42"/>
    </row>
    <row r="568" ht="14.25">
      <c r="D568" s="42"/>
    </row>
    <row r="569" ht="14.25">
      <c r="D569" s="42"/>
    </row>
    <row r="570" ht="14.25">
      <c r="D570" s="42"/>
    </row>
    <row r="571" ht="14.25">
      <c r="D571" s="42"/>
    </row>
    <row r="572" ht="14.25">
      <c r="D572" s="42"/>
    </row>
    <row r="573" ht="14.25">
      <c r="D573" s="42"/>
    </row>
  </sheetData>
  <sheetProtection/>
  <mergeCells count="58">
    <mergeCell ref="A4:F4"/>
    <mergeCell ref="H4:L4"/>
    <mergeCell ref="M4:Q4"/>
    <mergeCell ref="A133:F133"/>
    <mergeCell ref="G133:H133"/>
    <mergeCell ref="A134:F134"/>
    <mergeCell ref="G134:H134"/>
    <mergeCell ref="A135:F135"/>
    <mergeCell ref="G135:H135"/>
    <mergeCell ref="A189:B189"/>
    <mergeCell ref="A190:F190"/>
    <mergeCell ref="A193:F193"/>
    <mergeCell ref="A195:D195"/>
    <mergeCell ref="A196:F196"/>
    <mergeCell ref="A198:D198"/>
    <mergeCell ref="A199:F199"/>
    <mergeCell ref="A202:F202"/>
    <mergeCell ref="A205:F205"/>
    <mergeCell ref="A208:F208"/>
    <mergeCell ref="A254:H254"/>
    <mergeCell ref="J254:M254"/>
    <mergeCell ref="A235:F235"/>
    <mergeCell ref="A211:F211"/>
    <mergeCell ref="A214:F214"/>
    <mergeCell ref="A217:F217"/>
    <mergeCell ref="A219:F219"/>
    <mergeCell ref="A220:F220"/>
    <mergeCell ref="A222:F222"/>
    <mergeCell ref="A223:F223"/>
    <mergeCell ref="A344:H344"/>
    <mergeCell ref="A360:H360"/>
    <mergeCell ref="A362:H362"/>
    <mergeCell ref="A292:H292"/>
    <mergeCell ref="A301:H301"/>
    <mergeCell ref="A302:H302"/>
    <mergeCell ref="A303:H303"/>
    <mergeCell ref="A312:H312"/>
    <mergeCell ref="A326:H326"/>
    <mergeCell ref="A415:H415"/>
    <mergeCell ref="A421:H421"/>
    <mergeCell ref="A424:H424"/>
    <mergeCell ref="A427:H427"/>
    <mergeCell ref="A448:H448"/>
    <mergeCell ref="A363:H363"/>
    <mergeCell ref="A366:H366"/>
    <mergeCell ref="A380:H380"/>
    <mergeCell ref="A389:H389"/>
    <mergeCell ref="A404:H404"/>
    <mergeCell ref="A225:F225"/>
    <mergeCell ref="A226:F226"/>
    <mergeCell ref="A229:F229"/>
    <mergeCell ref="A232:F232"/>
    <mergeCell ref="A234:F234"/>
    <mergeCell ref="A410:H410"/>
    <mergeCell ref="A407:H407"/>
    <mergeCell ref="A329:H329"/>
    <mergeCell ref="A333:H333"/>
    <mergeCell ref="A341:H341"/>
  </mergeCells>
  <printOptions/>
  <pageMargins left="0.3937007874015748" right="0.3937007874015748" top="0.5905511811023623" bottom="0.3937007874015748" header="0.31496062992125984" footer="0.31496062992125984"/>
  <pageSetup fitToHeight="1" fitToWidth="1" horizontalDpi="600" verticalDpi="600" orientation="portrait" paperSize="9" scale="13" r:id="rId4"/>
  <rowBreaks count="9" manualBreakCount="9">
    <brk id="47" max="255" man="1"/>
    <brk id="98" max="255" man="1"/>
    <brk id="158" max="255" man="1"/>
    <brk id="222" max="255" man="1"/>
    <brk id="237" max="255" man="1"/>
    <brk id="275" max="255" man="1"/>
    <brk id="364" max="255" man="1"/>
    <brk id="408" max="255" man="1"/>
    <brk id="450" max="255" man="1"/>
  </rowBreaks>
  <ignoredErrors>
    <ignoredError sqref="F299 H299 H339 F339" formulaRange="1"/>
    <ignoredError sqref="E132"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Miriam Hürlimann</cp:lastModifiedBy>
  <cp:lastPrinted>2024-04-09T08:35:21Z</cp:lastPrinted>
  <dcterms:created xsi:type="dcterms:W3CDTF">2011-02-24T14:38:28Z</dcterms:created>
  <dcterms:modified xsi:type="dcterms:W3CDTF">2024-05-08T09:35:45Z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0x0101006E2791F4DD35EF4E9EDE2DC55663C59C</vt:lpwstr>
  </property>
  <property fmtid="{D5CDD505-2E9C-101B-9397-08002B2CF9AE}" pid="3" name="display_urn:schemas-microsoft-com:office:office#SharedWithUsers">
    <vt:lpwstr>Irene Hodel</vt:lpwstr>
  </property>
  <property fmtid="{D5CDD505-2E9C-101B-9397-08002B2CF9AE}" pid="4" name="SharedWithUsers">
    <vt:lpwstr>12;#Irene Hodel</vt:lpwstr>
  </property>
</Properties>
</file>